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M:\analysis\MFfetchR\tests\testthat\testdata\"/>
    </mc:Choice>
  </mc:AlternateContent>
  <xr:revisionPtr revIDLastSave="0" documentId="13_ncr:1_{F871B969-69E6-47FC-9F1C-6D377EA73B80}" xr6:coauthVersionLast="47" xr6:coauthVersionMax="47" xr10:uidLastSave="{00000000-0000-0000-0000-000000000000}"/>
  <bookViews>
    <workbookView xWindow="-120" yWindow="-120" windowWidth="25440" windowHeight="15540" tabRatio="815" activeTab="11" xr2:uid="{00000000-000D-0000-FFFF-FFFF00000000}"/>
  </bookViews>
  <sheets>
    <sheet name="SPR PRO 1999" sheetId="9" r:id="rId1"/>
    <sheet name="SPR PRO 2000" sheetId="16" r:id="rId2"/>
    <sheet name="SPR PRO 2001" sheetId="7" r:id="rId3"/>
    <sheet name="SPR SPREM 03" sheetId="18" r:id="rId4"/>
    <sheet name="SPR PRO 04" sheetId="17" r:id="rId5"/>
    <sheet name="VIŠJI 2004" sheetId="26" r:id="rId6"/>
    <sheet name="VIŠJI 2005" sheetId="22" r:id="rId7"/>
    <sheet name="VIŠJI 2006" sheetId="23" r:id="rId8"/>
    <sheet name="NIŽJI 2006" sheetId="28" r:id="rId9"/>
    <sheet name="VIŠJI 2007" sheetId="24" r:id="rId10"/>
    <sheet name="NIŽJI 2007" sheetId="29" r:id="rId11"/>
    <sheet name="GLOBALNA" sheetId="45" r:id="rId12"/>
  </sheets>
  <definedNames>
    <definedName name="_xlnm.Print_Area" localSheetId="11">GLOBALNA!$A$1:$O$382</definedName>
    <definedName name="_xlnm.Print_Titles" localSheetId="11">GLOBALNA!$9:$9</definedName>
    <definedName name="_xlnm.Print_Titles" localSheetId="3">'SPR SPREM 03'!$14:$19</definedName>
    <definedName name="_xlnm.Print_Titles" localSheetId="5">'VIŠJI 2004'!$14:$19</definedName>
    <definedName name="_xlnm.Print_Titles" localSheetId="6">'VIŠJI 2005'!$14:$19</definedName>
    <definedName name="_xlnm.Print_Titles" localSheetId="7">'VIŠJI 2006'!$14:$19</definedName>
    <definedName name="_xlnm.Print_Titles" localSheetId="9">'VIŠJI 2007'!$14:$19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8" i="45" l="1"/>
  <c r="F36" i="45"/>
  <c r="E25" i="45" l="1"/>
  <c r="F25" i="45"/>
  <c r="G25" i="45"/>
  <c r="H25" i="45"/>
  <c r="I25" i="45"/>
  <c r="J25" i="45"/>
  <c r="K25" i="45"/>
  <c r="L25" i="45"/>
  <c r="M25" i="45"/>
  <c r="N25" i="45"/>
  <c r="O25" i="45"/>
  <c r="E30" i="45"/>
  <c r="F30" i="45"/>
  <c r="G30" i="45"/>
  <c r="H30" i="45"/>
  <c r="I30" i="45"/>
  <c r="J30" i="45"/>
  <c r="K30" i="45"/>
  <c r="L30" i="45"/>
  <c r="M30" i="45"/>
  <c r="N30" i="45"/>
  <c r="O30" i="45"/>
  <c r="E36" i="45"/>
  <c r="G36" i="45"/>
  <c r="H36" i="45"/>
  <c r="I36" i="45"/>
  <c r="J36" i="45"/>
  <c r="K36" i="45"/>
  <c r="L36" i="45"/>
  <c r="M36" i="45"/>
  <c r="N36" i="45"/>
  <c r="O36" i="45"/>
  <c r="E40" i="45"/>
  <c r="F40" i="45"/>
  <c r="G40" i="45"/>
  <c r="H40" i="45"/>
  <c r="I40" i="45"/>
  <c r="J40" i="45"/>
  <c r="K40" i="45"/>
  <c r="L40" i="45"/>
  <c r="M40" i="45"/>
  <c r="N40" i="45"/>
  <c r="O40" i="45"/>
  <c r="E46" i="45"/>
  <c r="F46" i="45"/>
  <c r="G46" i="45"/>
  <c r="H46" i="45"/>
  <c r="I46" i="45"/>
  <c r="J46" i="45"/>
  <c r="K46" i="45"/>
  <c r="L46" i="45"/>
  <c r="M46" i="45"/>
  <c r="N46" i="45"/>
  <c r="O46" i="45"/>
  <c r="F57" i="45"/>
  <c r="G57" i="45"/>
  <c r="H57" i="45"/>
  <c r="I57" i="45"/>
  <c r="J57" i="45"/>
  <c r="K57" i="45"/>
  <c r="L57" i="45"/>
  <c r="M57" i="45"/>
  <c r="N57" i="45"/>
  <c r="O57" i="45"/>
  <c r="E61" i="45"/>
  <c r="F61" i="45"/>
  <c r="G61" i="45"/>
  <c r="H61" i="45"/>
  <c r="I61" i="45"/>
  <c r="J61" i="45"/>
  <c r="K61" i="45"/>
  <c r="L61" i="45"/>
  <c r="M61" i="45"/>
  <c r="N61" i="45"/>
  <c r="O61" i="45"/>
  <c r="E66" i="45"/>
  <c r="F66" i="45"/>
  <c r="G66" i="45"/>
  <c r="H66" i="45"/>
  <c r="I66" i="45"/>
  <c r="J66" i="45"/>
  <c r="K66" i="45"/>
  <c r="L66" i="45"/>
  <c r="M66" i="45"/>
  <c r="N66" i="45"/>
  <c r="O66" i="45"/>
  <c r="E71" i="45"/>
  <c r="F71" i="45"/>
  <c r="G71" i="45"/>
  <c r="H71" i="45"/>
  <c r="I71" i="45"/>
  <c r="J71" i="45"/>
  <c r="K71" i="45"/>
  <c r="L71" i="45"/>
  <c r="M71" i="45"/>
  <c r="N71" i="45"/>
  <c r="O71" i="45"/>
  <c r="E75" i="45"/>
  <c r="F75" i="45"/>
  <c r="G75" i="45"/>
  <c r="H75" i="45"/>
  <c r="I75" i="45"/>
  <c r="J75" i="45"/>
  <c r="K75" i="45"/>
  <c r="L75" i="45"/>
  <c r="M75" i="45"/>
  <c r="N75" i="45"/>
  <c r="O75" i="45"/>
  <c r="E78" i="45"/>
  <c r="F78" i="45"/>
  <c r="G78" i="45"/>
  <c r="H78" i="45"/>
  <c r="I78" i="45"/>
  <c r="J78" i="45"/>
  <c r="K78" i="45"/>
  <c r="L78" i="45"/>
  <c r="M78" i="45"/>
  <c r="N78" i="45"/>
  <c r="O78" i="45"/>
  <c r="E81" i="45"/>
  <c r="F81" i="45"/>
  <c r="G81" i="45"/>
  <c r="H81" i="45"/>
  <c r="I81" i="45"/>
  <c r="J81" i="45"/>
  <c r="K81" i="45"/>
  <c r="L81" i="45"/>
  <c r="M81" i="45"/>
  <c r="N81" i="45"/>
  <c r="O81" i="45"/>
  <c r="E87" i="45"/>
  <c r="F87" i="45"/>
  <c r="G87" i="45"/>
  <c r="H87" i="45"/>
  <c r="I87" i="45"/>
  <c r="J87" i="45"/>
  <c r="K87" i="45"/>
  <c r="L87" i="45"/>
  <c r="M87" i="45"/>
  <c r="N87" i="45"/>
  <c r="O87" i="45"/>
  <c r="E93" i="45"/>
  <c r="F93" i="45"/>
  <c r="G93" i="45"/>
  <c r="H93" i="45"/>
  <c r="I93" i="45"/>
  <c r="J93" i="45"/>
  <c r="K93" i="45"/>
  <c r="L93" i="45"/>
  <c r="M93" i="45"/>
  <c r="N93" i="45"/>
  <c r="O93" i="45"/>
  <c r="O97" i="45"/>
  <c r="E97" i="45"/>
  <c r="F97" i="45"/>
  <c r="G97" i="45"/>
  <c r="H97" i="45"/>
  <c r="I97" i="45"/>
  <c r="J97" i="45"/>
  <c r="K97" i="45"/>
  <c r="L97" i="45"/>
  <c r="M97" i="45"/>
  <c r="N97" i="45"/>
  <c r="E104" i="45"/>
  <c r="F104" i="45"/>
  <c r="G104" i="45"/>
  <c r="H104" i="45"/>
  <c r="I104" i="45"/>
  <c r="J104" i="45"/>
  <c r="K104" i="45"/>
  <c r="L104" i="45"/>
  <c r="M104" i="45"/>
  <c r="N104" i="45"/>
  <c r="O104" i="45"/>
  <c r="E108" i="45"/>
  <c r="F108" i="45"/>
  <c r="G108" i="45"/>
  <c r="H108" i="45"/>
  <c r="I108" i="45"/>
  <c r="J108" i="45"/>
  <c r="K108" i="45"/>
  <c r="L108" i="45"/>
  <c r="M108" i="45"/>
  <c r="N108" i="45"/>
  <c r="O108" i="45"/>
  <c r="E118" i="45"/>
  <c r="E116" i="45" s="1"/>
  <c r="F118" i="45"/>
  <c r="F116" i="45" s="1"/>
  <c r="G118" i="45"/>
  <c r="G116" i="45" s="1"/>
  <c r="H118" i="45"/>
  <c r="H116" i="45" s="1"/>
  <c r="I118" i="45"/>
  <c r="I116" i="45" s="1"/>
  <c r="J118" i="45"/>
  <c r="J116" i="45" s="1"/>
  <c r="K118" i="45"/>
  <c r="K116" i="45" s="1"/>
  <c r="L118" i="45"/>
  <c r="L116" i="45" s="1"/>
  <c r="M118" i="45"/>
  <c r="N118" i="45"/>
  <c r="N116" i="45" s="1"/>
  <c r="O118" i="45"/>
  <c r="O116" i="45" s="1"/>
  <c r="E144" i="45"/>
  <c r="F144" i="45"/>
  <c r="G144" i="45"/>
  <c r="H144" i="45"/>
  <c r="H148" i="45"/>
  <c r="H153" i="45"/>
  <c r="H157" i="45"/>
  <c r="H165" i="45"/>
  <c r="H172" i="45"/>
  <c r="H180" i="45"/>
  <c r="H185" i="45"/>
  <c r="H196" i="45"/>
  <c r="H199" i="45"/>
  <c r="H207" i="45"/>
  <c r="H213" i="45"/>
  <c r="H229" i="45"/>
  <c r="H238" i="45"/>
  <c r="I144" i="45"/>
  <c r="J144" i="45"/>
  <c r="K144" i="45"/>
  <c r="L144" i="45"/>
  <c r="M144" i="45"/>
  <c r="N144" i="45"/>
  <c r="O144" i="45"/>
  <c r="F148" i="45"/>
  <c r="G148" i="45"/>
  <c r="I148" i="45"/>
  <c r="J148" i="45"/>
  <c r="K148" i="45"/>
  <c r="L148" i="45"/>
  <c r="M148" i="45"/>
  <c r="N148" i="45"/>
  <c r="O148" i="45"/>
  <c r="E153" i="45"/>
  <c r="F153" i="45"/>
  <c r="F157" i="45"/>
  <c r="F165" i="45"/>
  <c r="F172" i="45"/>
  <c r="F180" i="45"/>
  <c r="F185" i="45"/>
  <c r="F196" i="45"/>
  <c r="F199" i="45"/>
  <c r="F207" i="45"/>
  <c r="F213" i="45"/>
  <c r="F229" i="45"/>
  <c r="F238" i="45"/>
  <c r="G153" i="45"/>
  <c r="I153" i="45"/>
  <c r="J153" i="45"/>
  <c r="K153" i="45"/>
  <c r="L153" i="45"/>
  <c r="M153" i="45"/>
  <c r="N153" i="45"/>
  <c r="O153" i="45"/>
  <c r="E157" i="45"/>
  <c r="G157" i="45"/>
  <c r="I157" i="45"/>
  <c r="J157" i="45"/>
  <c r="K157" i="45"/>
  <c r="L157" i="45"/>
  <c r="M157" i="45"/>
  <c r="N157" i="45"/>
  <c r="O157" i="45"/>
  <c r="E165" i="45"/>
  <c r="G165" i="45"/>
  <c r="I165" i="45"/>
  <c r="J165" i="45"/>
  <c r="K165" i="45"/>
  <c r="L165" i="45"/>
  <c r="M165" i="45"/>
  <c r="N165" i="45"/>
  <c r="O165" i="45"/>
  <c r="E172" i="45"/>
  <c r="G172" i="45"/>
  <c r="I172" i="45"/>
  <c r="J172" i="45"/>
  <c r="K172" i="45"/>
  <c r="L172" i="45"/>
  <c r="M172" i="45"/>
  <c r="N172" i="45"/>
  <c r="O172" i="45"/>
  <c r="O180" i="45"/>
  <c r="O185" i="45"/>
  <c r="O196" i="45"/>
  <c r="O199" i="45"/>
  <c r="O207" i="45"/>
  <c r="O215" i="45"/>
  <c r="O213" i="45" s="1"/>
  <c r="O229" i="45"/>
  <c r="O238" i="45"/>
  <c r="E180" i="45"/>
  <c r="G180" i="45"/>
  <c r="I180" i="45"/>
  <c r="J180" i="45"/>
  <c r="K180" i="45"/>
  <c r="L180" i="45"/>
  <c r="M180" i="45"/>
  <c r="N180" i="45"/>
  <c r="E185" i="45"/>
  <c r="G185" i="45"/>
  <c r="I185" i="45"/>
  <c r="J185" i="45"/>
  <c r="K185" i="45"/>
  <c r="L185" i="45"/>
  <c r="M185" i="45"/>
  <c r="N185" i="45"/>
  <c r="E196" i="45"/>
  <c r="G196" i="45"/>
  <c r="I196" i="45"/>
  <c r="J196" i="45"/>
  <c r="K196" i="45"/>
  <c r="L196" i="45"/>
  <c r="M196" i="45"/>
  <c r="N196" i="45"/>
  <c r="E199" i="45"/>
  <c r="G199" i="45"/>
  <c r="I199" i="45"/>
  <c r="J199" i="45"/>
  <c r="K199" i="45"/>
  <c r="L199" i="45"/>
  <c r="M199" i="45"/>
  <c r="N199" i="45"/>
  <c r="E207" i="45"/>
  <c r="G207" i="45"/>
  <c r="I207" i="45"/>
  <c r="J207" i="45"/>
  <c r="K207" i="45"/>
  <c r="L207" i="45"/>
  <c r="M207" i="45"/>
  <c r="N207" i="45"/>
  <c r="E213" i="45"/>
  <c r="G213" i="45"/>
  <c r="I213" i="45"/>
  <c r="J213" i="45"/>
  <c r="K213" i="45"/>
  <c r="L215" i="45"/>
  <c r="L213" i="45" s="1"/>
  <c r="M215" i="45"/>
  <c r="N215" i="45"/>
  <c r="N213" i="45" s="1"/>
  <c r="E229" i="45"/>
  <c r="G229" i="45"/>
  <c r="I229" i="45"/>
  <c r="J229" i="45"/>
  <c r="J238" i="45"/>
  <c r="K229" i="45"/>
  <c r="K238" i="45"/>
  <c r="L229" i="45"/>
  <c r="M229" i="45"/>
  <c r="N229" i="45"/>
  <c r="E238" i="45"/>
  <c r="G238" i="45"/>
  <c r="I238" i="45"/>
  <c r="L238" i="45"/>
  <c r="M238" i="45"/>
  <c r="N238" i="45"/>
  <c r="E270" i="45"/>
  <c r="F270" i="45"/>
  <c r="G270" i="45"/>
  <c r="H270" i="45"/>
  <c r="I270" i="45"/>
  <c r="J270" i="45"/>
  <c r="K270" i="45"/>
  <c r="L270" i="45"/>
  <c r="M270" i="45"/>
  <c r="N270" i="45"/>
  <c r="O270" i="45"/>
  <c r="E282" i="45"/>
  <c r="F282" i="45"/>
  <c r="G282" i="45"/>
  <c r="H282" i="45"/>
  <c r="I282" i="45"/>
  <c r="J282" i="45"/>
  <c r="K282" i="45"/>
  <c r="L282" i="45"/>
  <c r="M282" i="45"/>
  <c r="N282" i="45"/>
  <c r="O282" i="45"/>
  <c r="E289" i="45"/>
  <c r="F289" i="45"/>
  <c r="G289" i="45"/>
  <c r="G295" i="45"/>
  <c r="G307" i="45"/>
  <c r="G315" i="45"/>
  <c r="H289" i="45"/>
  <c r="I289" i="45"/>
  <c r="J289" i="45"/>
  <c r="K289" i="45"/>
  <c r="K295" i="45"/>
  <c r="K307" i="45"/>
  <c r="K315" i="45"/>
  <c r="L289" i="45"/>
  <c r="M289" i="45"/>
  <c r="N289" i="45"/>
  <c r="O289" i="45"/>
  <c r="E295" i="45"/>
  <c r="F295" i="45"/>
  <c r="H295" i="45"/>
  <c r="I295" i="45"/>
  <c r="J295" i="45"/>
  <c r="L295" i="45"/>
  <c r="M295" i="45"/>
  <c r="N295" i="45"/>
  <c r="O295" i="45"/>
  <c r="E307" i="45"/>
  <c r="F307" i="45"/>
  <c r="H307" i="45"/>
  <c r="I307" i="45"/>
  <c r="J307" i="45"/>
  <c r="L307" i="45"/>
  <c r="M307" i="45"/>
  <c r="N307" i="45"/>
  <c r="O307" i="45"/>
  <c r="E315" i="45"/>
  <c r="F315" i="45"/>
  <c r="H315" i="45"/>
  <c r="I315" i="45"/>
  <c r="J315" i="45"/>
  <c r="L315" i="45"/>
  <c r="M315" i="45"/>
  <c r="N315" i="45"/>
  <c r="O315" i="45"/>
  <c r="E320" i="45"/>
  <c r="F320" i="45"/>
  <c r="G320" i="45"/>
  <c r="H320" i="45"/>
  <c r="I320" i="45"/>
  <c r="J320" i="45"/>
  <c r="K320" i="45"/>
  <c r="L320" i="45"/>
  <c r="M320" i="45"/>
  <c r="N320" i="45"/>
  <c r="O320" i="45"/>
  <c r="E336" i="45"/>
  <c r="F336" i="45"/>
  <c r="G336" i="45"/>
  <c r="H336" i="45"/>
  <c r="I336" i="45"/>
  <c r="J336" i="45"/>
  <c r="K336" i="45"/>
  <c r="L336" i="45"/>
  <c r="M336" i="45"/>
  <c r="N336" i="45"/>
  <c r="O336" i="45"/>
  <c r="E344" i="45"/>
  <c r="F344" i="45"/>
  <c r="G344" i="45"/>
  <c r="H344" i="45"/>
  <c r="I344" i="45"/>
  <c r="J344" i="45"/>
  <c r="K344" i="45"/>
  <c r="L344" i="45"/>
  <c r="M344" i="45"/>
  <c r="N344" i="45"/>
  <c r="O344" i="45"/>
  <c r="E355" i="45"/>
  <c r="F355" i="45"/>
  <c r="F363" i="45"/>
  <c r="G355" i="45"/>
  <c r="G363" i="45"/>
  <c r="H355" i="45"/>
  <c r="I355" i="45"/>
  <c r="J355" i="45"/>
  <c r="J363" i="45"/>
  <c r="K355" i="45"/>
  <c r="K363" i="45"/>
  <c r="L355" i="45"/>
  <c r="M355" i="45"/>
  <c r="N355" i="45"/>
  <c r="O355" i="45"/>
  <c r="O363" i="45"/>
  <c r="E363" i="45"/>
  <c r="H363" i="45"/>
  <c r="I363" i="45"/>
  <c r="L363" i="45"/>
  <c r="L353" i="45" s="1"/>
  <c r="M363" i="45"/>
  <c r="N363" i="45"/>
  <c r="J32" i="28"/>
  <c r="J33" i="28"/>
  <c r="J31" i="28" s="1"/>
  <c r="J34" i="28"/>
  <c r="J37" i="28"/>
  <c r="I200" i="28"/>
  <c r="J200" i="28" s="1"/>
  <c r="I201" i="28"/>
  <c r="I202" i="28"/>
  <c r="J202" i="28" s="1"/>
  <c r="I203" i="28"/>
  <c r="J203" i="28"/>
  <c r="I205" i="28"/>
  <c r="J205" i="28" s="1"/>
  <c r="J39" i="28"/>
  <c r="J40" i="28"/>
  <c r="J43" i="28"/>
  <c r="J44" i="28"/>
  <c r="J47" i="28"/>
  <c r="J48" i="28"/>
  <c r="J49" i="28"/>
  <c r="J50" i="28"/>
  <c r="J53" i="28"/>
  <c r="J54" i="28"/>
  <c r="J55" i="28"/>
  <c r="J56" i="28"/>
  <c r="J57" i="28"/>
  <c r="J58" i="28"/>
  <c r="J59" i="28"/>
  <c r="J60" i="28"/>
  <c r="J61" i="28"/>
  <c r="J64" i="28"/>
  <c r="J65" i="28"/>
  <c r="J66" i="28"/>
  <c r="J67" i="28"/>
  <c r="J68" i="28"/>
  <c r="J69" i="28"/>
  <c r="J70" i="28"/>
  <c r="J73" i="28"/>
  <c r="J79" i="28"/>
  <c r="J80" i="28"/>
  <c r="J81" i="28"/>
  <c r="J82" i="28"/>
  <c r="J86" i="28"/>
  <c r="J87" i="28"/>
  <c r="J90" i="28"/>
  <c r="J93" i="28"/>
  <c r="J97" i="28"/>
  <c r="J98" i="28"/>
  <c r="J104" i="28"/>
  <c r="J105" i="28"/>
  <c r="J106" i="28"/>
  <c r="J107" i="28"/>
  <c r="J110" i="28"/>
  <c r="J111" i="28"/>
  <c r="J114" i="28"/>
  <c r="J115" i="28"/>
  <c r="J116" i="28"/>
  <c r="J122" i="28"/>
  <c r="J123" i="28"/>
  <c r="J126" i="28"/>
  <c r="J127" i="28"/>
  <c r="I133" i="28"/>
  <c r="J133" i="28"/>
  <c r="I134" i="28"/>
  <c r="J134" i="28"/>
  <c r="I135" i="28"/>
  <c r="J135" i="28" s="1"/>
  <c r="J136" i="28"/>
  <c r="J462" i="28"/>
  <c r="J463" i="28"/>
  <c r="J464" i="28"/>
  <c r="J465" i="28"/>
  <c r="J466" i="28"/>
  <c r="E457" i="28"/>
  <c r="F450" i="28"/>
  <c r="F448" i="28" s="1"/>
  <c r="G450" i="28"/>
  <c r="G448" i="28" s="1"/>
  <c r="H450" i="28"/>
  <c r="E430" i="28"/>
  <c r="F430" i="28"/>
  <c r="F428" i="28" s="1"/>
  <c r="G430" i="28"/>
  <c r="H430" i="28"/>
  <c r="I430" i="28"/>
  <c r="J386" i="28"/>
  <c r="J387" i="28"/>
  <c r="J388" i="28"/>
  <c r="J389" i="28"/>
  <c r="J390" i="28"/>
  <c r="J391" i="28"/>
  <c r="J392" i="28"/>
  <c r="J395" i="28"/>
  <c r="J396" i="28"/>
  <c r="J397" i="28"/>
  <c r="J398" i="28"/>
  <c r="J399" i="28"/>
  <c r="J403" i="28"/>
  <c r="J402" i="28" s="1"/>
  <c r="J404" i="28"/>
  <c r="J405" i="28"/>
  <c r="J408" i="28"/>
  <c r="J364" i="28"/>
  <c r="J365" i="28"/>
  <c r="J366" i="28"/>
  <c r="J367" i="28"/>
  <c r="J368" i="28"/>
  <c r="J369" i="28"/>
  <c r="J370" i="28"/>
  <c r="I371" i="28"/>
  <c r="J374" i="28"/>
  <c r="J375" i="28"/>
  <c r="J373" i="28"/>
  <c r="J376" i="28"/>
  <c r="J379" i="28"/>
  <c r="J311" i="28"/>
  <c r="J310" i="28"/>
  <c r="J309" i="28"/>
  <c r="J308" i="28"/>
  <c r="J306" i="28"/>
  <c r="J305" i="28"/>
  <c r="J304" i="28"/>
  <c r="I303" i="28"/>
  <c r="J307" i="28"/>
  <c r="J297" i="28"/>
  <c r="J296" i="28"/>
  <c r="J295" i="28"/>
  <c r="J294" i="28"/>
  <c r="J293" i="28"/>
  <c r="J292" i="28"/>
  <c r="J291" i="28"/>
  <c r="J290" i="28"/>
  <c r="J289" i="28"/>
  <c r="J288" i="28"/>
  <c r="J283" i="28"/>
  <c r="J282" i="28"/>
  <c r="J281" i="28"/>
  <c r="J280" i="28"/>
  <c r="J272" i="28"/>
  <c r="J264" i="28"/>
  <c r="J260" i="28"/>
  <c r="J259" i="28"/>
  <c r="J258" i="28"/>
  <c r="J257" i="28"/>
  <c r="J256" i="28"/>
  <c r="J255" i="28"/>
  <c r="J254" i="28"/>
  <c r="J253" i="28"/>
  <c r="I252" i="28"/>
  <c r="J252" i="28" s="1"/>
  <c r="J249" i="28"/>
  <c r="J247" i="28"/>
  <c r="J248" i="28"/>
  <c r="I268" i="28"/>
  <c r="J268" i="28" s="1"/>
  <c r="I270" i="28"/>
  <c r="E131" i="28"/>
  <c r="I276" i="28" s="1"/>
  <c r="J276" i="28"/>
  <c r="J239" i="28"/>
  <c r="J238" i="28"/>
  <c r="J240" i="28"/>
  <c r="J241" i="28"/>
  <c r="J231" i="28"/>
  <c r="J232" i="28"/>
  <c r="J233" i="28"/>
  <c r="J234" i="28"/>
  <c r="J235" i="28"/>
  <c r="J224" i="28"/>
  <c r="J225" i="28"/>
  <c r="J226" i="28"/>
  <c r="J227" i="28"/>
  <c r="J228" i="28"/>
  <c r="J221" i="28"/>
  <c r="E209" i="28"/>
  <c r="E207" i="28" s="1"/>
  <c r="F209" i="28"/>
  <c r="I209" i="28"/>
  <c r="I207" i="28"/>
  <c r="J195" i="28"/>
  <c r="E186" i="28"/>
  <c r="J458" i="28"/>
  <c r="J455" i="28"/>
  <c r="J454" i="28"/>
  <c r="J453" i="28"/>
  <c r="J452" i="28"/>
  <c r="J400" i="28"/>
  <c r="J175" i="28"/>
  <c r="E378" i="28"/>
  <c r="F378" i="28"/>
  <c r="G378" i="28"/>
  <c r="H378" i="28"/>
  <c r="E407" i="28"/>
  <c r="F407" i="28"/>
  <c r="G407" i="28"/>
  <c r="G383" i="28" s="1"/>
  <c r="H407" i="28"/>
  <c r="I407" i="28"/>
  <c r="E439" i="28"/>
  <c r="F439" i="28"/>
  <c r="G439" i="28"/>
  <c r="H439" i="28"/>
  <c r="H428" i="28" s="1"/>
  <c r="E460" i="28"/>
  <c r="F460" i="28"/>
  <c r="G460" i="28"/>
  <c r="H460" i="28"/>
  <c r="E31" i="28"/>
  <c r="E36" i="28"/>
  <c r="E42" i="28"/>
  <c r="E46" i="28"/>
  <c r="E52" i="28"/>
  <c r="E63" i="28"/>
  <c r="E72" i="28"/>
  <c r="E78" i="28"/>
  <c r="E85" i="28"/>
  <c r="E89" i="28"/>
  <c r="E92" i="28"/>
  <c r="E96" i="28"/>
  <c r="E103" i="28"/>
  <c r="E109" i="28"/>
  <c r="E113" i="28"/>
  <c r="E121" i="28"/>
  <c r="E125" i="28"/>
  <c r="E129" i="28"/>
  <c r="E138" i="28"/>
  <c r="F31" i="28"/>
  <c r="F36" i="28"/>
  <c r="F42" i="28"/>
  <c r="F46" i="28"/>
  <c r="F52" i="28"/>
  <c r="F63" i="28"/>
  <c r="F72" i="28"/>
  <c r="F78" i="28"/>
  <c r="F85" i="28"/>
  <c r="F89" i="28"/>
  <c r="F92" i="28"/>
  <c r="F96" i="28"/>
  <c r="F103" i="28"/>
  <c r="F109" i="28"/>
  <c r="F113" i="28"/>
  <c r="F121" i="28"/>
  <c r="F125" i="28"/>
  <c r="F118" i="28"/>
  <c r="F131" i="28"/>
  <c r="F129" i="28" s="1"/>
  <c r="G31" i="28"/>
  <c r="G36" i="28"/>
  <c r="G42" i="28"/>
  <c r="G46" i="28"/>
  <c r="G52" i="28"/>
  <c r="G63" i="28"/>
  <c r="G72" i="28"/>
  <c r="G78" i="28"/>
  <c r="G85" i="28"/>
  <c r="G89" i="28"/>
  <c r="G92" i="28"/>
  <c r="G96" i="28"/>
  <c r="G103" i="28"/>
  <c r="G109" i="28"/>
  <c r="G113" i="28"/>
  <c r="G121" i="28"/>
  <c r="G118" i="28" s="1"/>
  <c r="G125" i="28"/>
  <c r="G131" i="28"/>
  <c r="G129" i="28" s="1"/>
  <c r="H31" i="28"/>
  <c r="H36" i="28"/>
  <c r="H42" i="28"/>
  <c r="H46" i="28"/>
  <c r="H52" i="28"/>
  <c r="H63" i="28"/>
  <c r="H72" i="28"/>
  <c r="H78" i="28"/>
  <c r="H85" i="28"/>
  <c r="H89" i="28"/>
  <c r="H92" i="28"/>
  <c r="H96" i="28"/>
  <c r="H103" i="28"/>
  <c r="H109" i="28"/>
  <c r="H113" i="28"/>
  <c r="H121" i="28"/>
  <c r="H125" i="28"/>
  <c r="H131" i="28"/>
  <c r="H129" i="28"/>
  <c r="I42" i="28"/>
  <c r="I46" i="28"/>
  <c r="I52" i="28"/>
  <c r="I63" i="28"/>
  <c r="I72" i="28"/>
  <c r="I78" i="28"/>
  <c r="I85" i="28"/>
  <c r="I89" i="28"/>
  <c r="I92" i="28"/>
  <c r="I96" i="28"/>
  <c r="I103" i="28"/>
  <c r="I109" i="28"/>
  <c r="I113" i="28"/>
  <c r="I121" i="28"/>
  <c r="I125" i="28"/>
  <c r="I118" i="28" s="1"/>
  <c r="E199" i="28"/>
  <c r="E223" i="28"/>
  <c r="E230" i="28"/>
  <c r="E237" i="28"/>
  <c r="E246" i="28"/>
  <c r="E251" i="28"/>
  <c r="E262" i="28"/>
  <c r="E266" i="28"/>
  <c r="E279" i="28"/>
  <c r="E287" i="28"/>
  <c r="E285" i="28" s="1"/>
  <c r="E301" i="28"/>
  <c r="E299" i="28" s="1"/>
  <c r="E316" i="28"/>
  <c r="E321" i="28"/>
  <c r="E324" i="28"/>
  <c r="E327" i="28"/>
  <c r="F184" i="28"/>
  <c r="F199" i="28"/>
  <c r="F197" i="28" s="1"/>
  <c r="F223" i="28"/>
  <c r="F230" i="28"/>
  <c r="F237" i="28"/>
  <c r="F246" i="28"/>
  <c r="F251" i="28"/>
  <c r="F262" i="28"/>
  <c r="F266" i="28"/>
  <c r="F287" i="28"/>
  <c r="F285" i="28" s="1"/>
  <c r="F301" i="28"/>
  <c r="F299" i="28" s="1"/>
  <c r="F316" i="28"/>
  <c r="F321" i="28"/>
  <c r="F324" i="28"/>
  <c r="F327" i="28"/>
  <c r="G184" i="28"/>
  <c r="G199" i="28"/>
  <c r="G197" i="28" s="1"/>
  <c r="G207" i="28"/>
  <c r="G223" i="28"/>
  <c r="G230" i="28"/>
  <c r="G237" i="28"/>
  <c r="G246" i="28"/>
  <c r="G251" i="28"/>
  <c r="G262" i="28"/>
  <c r="G266" i="28"/>
  <c r="G279" i="28"/>
  <c r="G287" i="28"/>
  <c r="G299" i="28"/>
  <c r="G316" i="28"/>
  <c r="G321" i="28"/>
  <c r="G324" i="28"/>
  <c r="G327" i="28"/>
  <c r="H184" i="28"/>
  <c r="H199" i="28"/>
  <c r="H197" i="28" s="1"/>
  <c r="H207" i="28"/>
  <c r="H237" i="28"/>
  <c r="H246" i="28"/>
  <c r="H251" i="28"/>
  <c r="H262" i="28"/>
  <c r="H266" i="28"/>
  <c r="H279" i="28"/>
  <c r="H287" i="28"/>
  <c r="H285" i="28" s="1"/>
  <c r="H301" i="28"/>
  <c r="H299" i="28"/>
  <c r="H316" i="28"/>
  <c r="H321" i="28"/>
  <c r="H324" i="28"/>
  <c r="H327" i="28"/>
  <c r="I246" i="28"/>
  <c r="I251" i="28"/>
  <c r="I262" i="28"/>
  <c r="I279" i="28"/>
  <c r="I287" i="28"/>
  <c r="I285" i="28" s="1"/>
  <c r="I316" i="28"/>
  <c r="I321" i="28"/>
  <c r="I324" i="28"/>
  <c r="I327" i="28"/>
  <c r="I373" i="28"/>
  <c r="I378" i="28"/>
  <c r="I385" i="28"/>
  <c r="I394" i="28"/>
  <c r="I402" i="28"/>
  <c r="I383" i="28" s="1"/>
  <c r="I460" i="28"/>
  <c r="H363" i="28"/>
  <c r="H361" i="28" s="1"/>
  <c r="H402" i="28"/>
  <c r="G363" i="28"/>
  <c r="G373" i="28"/>
  <c r="F363" i="28"/>
  <c r="F373" i="28"/>
  <c r="F385" i="28"/>
  <c r="F394" i="28"/>
  <c r="F402" i="28"/>
  <c r="E363" i="28"/>
  <c r="E361" i="28"/>
  <c r="E373" i="28"/>
  <c r="E385" i="28"/>
  <c r="E394" i="28"/>
  <c r="E402" i="28"/>
  <c r="I439" i="28"/>
  <c r="J92" i="28"/>
  <c r="I223" i="28"/>
  <c r="I230" i="28"/>
  <c r="I237" i="28"/>
  <c r="I184" i="28"/>
  <c r="J170" i="28"/>
  <c r="J167" i="28"/>
  <c r="J163" i="28"/>
  <c r="J159" i="28"/>
  <c r="J156" i="28"/>
  <c r="J150" i="28"/>
  <c r="J145" i="28"/>
  <c r="J140" i="28"/>
  <c r="J34" i="29"/>
  <c r="J33" i="29"/>
  <c r="J32" i="29"/>
  <c r="J31" i="29" s="1"/>
  <c r="J466" i="29"/>
  <c r="J465" i="29"/>
  <c r="J464" i="29"/>
  <c r="J463" i="29"/>
  <c r="J462" i="29"/>
  <c r="J458" i="29"/>
  <c r="E457" i="29"/>
  <c r="J455" i="29"/>
  <c r="J454" i="29"/>
  <c r="J453" i="29"/>
  <c r="J452" i="29"/>
  <c r="F450" i="29"/>
  <c r="G450" i="29"/>
  <c r="H450" i="29"/>
  <c r="E430" i="29"/>
  <c r="F430" i="29"/>
  <c r="G430" i="29"/>
  <c r="H430" i="29"/>
  <c r="I430" i="29"/>
  <c r="J408" i="29"/>
  <c r="J405" i="29"/>
  <c r="J404" i="29"/>
  <c r="J403" i="29"/>
  <c r="J400" i="29"/>
  <c r="J399" i="29"/>
  <c r="J398" i="29"/>
  <c r="J397" i="29"/>
  <c r="J396" i="29"/>
  <c r="J395" i="29"/>
  <c r="J392" i="29"/>
  <c r="J391" i="29"/>
  <c r="J390" i="29"/>
  <c r="J389" i="29"/>
  <c r="J388" i="29"/>
  <c r="J387" i="29"/>
  <c r="J386" i="29"/>
  <c r="J379" i="29"/>
  <c r="J376" i="29"/>
  <c r="J375" i="29"/>
  <c r="J374" i="29"/>
  <c r="J369" i="29"/>
  <c r="J370" i="29"/>
  <c r="J364" i="29"/>
  <c r="J365" i="29"/>
  <c r="J366" i="29"/>
  <c r="J367" i="29"/>
  <c r="J368" i="29"/>
  <c r="I371" i="29"/>
  <c r="J371" i="29" s="1"/>
  <c r="J311" i="29"/>
  <c r="J310" i="29"/>
  <c r="J309" i="29"/>
  <c r="J308" i="29"/>
  <c r="J307" i="29"/>
  <c r="J306" i="29"/>
  <c r="J305" i="29"/>
  <c r="J304" i="29"/>
  <c r="I303" i="29"/>
  <c r="J297" i="29"/>
  <c r="J296" i="29"/>
  <c r="J295" i="29"/>
  <c r="J294" i="29"/>
  <c r="J293" i="29"/>
  <c r="J292" i="29"/>
  <c r="J291" i="29"/>
  <c r="J290" i="29"/>
  <c r="J289" i="29"/>
  <c r="J288" i="29"/>
  <c r="J283" i="29"/>
  <c r="J282" i="29"/>
  <c r="J281" i="29"/>
  <c r="J280" i="29"/>
  <c r="E131" i="29"/>
  <c r="I276" i="29"/>
  <c r="J221" i="29"/>
  <c r="I205" i="29"/>
  <c r="J205" i="29" s="1"/>
  <c r="J195" i="29"/>
  <c r="J272" i="29"/>
  <c r="I270" i="29"/>
  <c r="J270" i="29"/>
  <c r="I268" i="29"/>
  <c r="J264" i="29"/>
  <c r="J260" i="29"/>
  <c r="J259" i="29"/>
  <c r="J258" i="29"/>
  <c r="J257" i="29"/>
  <c r="J256" i="29"/>
  <c r="J255" i="29"/>
  <c r="J254" i="29"/>
  <c r="J253" i="29"/>
  <c r="K253" i="29" s="1"/>
  <c r="I252" i="29"/>
  <c r="J249" i="29"/>
  <c r="K249" i="29" s="1"/>
  <c r="J248" i="29"/>
  <c r="J247" i="29"/>
  <c r="J241" i="29"/>
  <c r="J240" i="29"/>
  <c r="J239" i="29"/>
  <c r="K239" i="29" s="1"/>
  <c r="J238" i="29"/>
  <c r="J235" i="29"/>
  <c r="J234" i="29"/>
  <c r="J233" i="29"/>
  <c r="J232" i="29"/>
  <c r="K232" i="29" s="1"/>
  <c r="J231" i="29"/>
  <c r="J228" i="29"/>
  <c r="J227" i="29"/>
  <c r="J226" i="29"/>
  <c r="J225" i="29"/>
  <c r="J224" i="29"/>
  <c r="E209" i="29"/>
  <c r="F209" i="29"/>
  <c r="F207" i="29" s="1"/>
  <c r="I209" i="29"/>
  <c r="I207" i="29" s="1"/>
  <c r="I203" i="29"/>
  <c r="J203" i="29" s="1"/>
  <c r="I202" i="29"/>
  <c r="J202" i="29" s="1"/>
  <c r="I201" i="29"/>
  <c r="J201" i="29" s="1"/>
  <c r="I200" i="29"/>
  <c r="E186" i="29"/>
  <c r="J186" i="29" s="1"/>
  <c r="J136" i="29"/>
  <c r="I135" i="29"/>
  <c r="J135" i="29" s="1"/>
  <c r="I134" i="29"/>
  <c r="I133" i="29"/>
  <c r="J133" i="29" s="1"/>
  <c r="J127" i="29"/>
  <c r="J126" i="29"/>
  <c r="J123" i="29"/>
  <c r="J122" i="29"/>
  <c r="J116" i="29"/>
  <c r="J115" i="29"/>
  <c r="J114" i="29"/>
  <c r="J111" i="29"/>
  <c r="J110" i="29"/>
  <c r="J107" i="29"/>
  <c r="J106" i="29"/>
  <c r="J105" i="29"/>
  <c r="J104" i="29"/>
  <c r="J98" i="29"/>
  <c r="J97" i="29"/>
  <c r="J93" i="29"/>
  <c r="J90" i="29"/>
  <c r="J87" i="29"/>
  <c r="J86" i="29"/>
  <c r="J82" i="29"/>
  <c r="J81" i="29"/>
  <c r="J80" i="29"/>
  <c r="J79" i="29"/>
  <c r="J73" i="29"/>
  <c r="J70" i="29"/>
  <c r="J69" i="29"/>
  <c r="J68" i="29"/>
  <c r="J67" i="29"/>
  <c r="J66" i="29"/>
  <c r="J65" i="29"/>
  <c r="J64" i="29"/>
  <c r="J61" i="29"/>
  <c r="J60" i="29"/>
  <c r="J59" i="29"/>
  <c r="J58" i="29"/>
  <c r="J57" i="29"/>
  <c r="J56" i="29"/>
  <c r="J55" i="29"/>
  <c r="J54" i="29"/>
  <c r="J53" i="29"/>
  <c r="J50" i="29"/>
  <c r="J49" i="29"/>
  <c r="J48" i="29"/>
  <c r="J47" i="29"/>
  <c r="J44" i="29"/>
  <c r="J43" i="29"/>
  <c r="J40" i="29"/>
  <c r="J39" i="29"/>
  <c r="J37" i="29"/>
  <c r="J175" i="29"/>
  <c r="K395" i="29" s="1"/>
  <c r="E378" i="29"/>
  <c r="F378" i="29"/>
  <c r="G378" i="29"/>
  <c r="H378" i="29"/>
  <c r="E407" i="29"/>
  <c r="F407" i="29"/>
  <c r="G407" i="29"/>
  <c r="H407" i="29"/>
  <c r="I407" i="29"/>
  <c r="E439" i="29"/>
  <c r="F439" i="29"/>
  <c r="G439" i="29"/>
  <c r="H439" i="29"/>
  <c r="E460" i="29"/>
  <c r="F460" i="29"/>
  <c r="G460" i="29"/>
  <c r="H460" i="29"/>
  <c r="E31" i="29"/>
  <c r="E36" i="29"/>
  <c r="E42" i="29"/>
  <c r="E46" i="29"/>
  <c r="E52" i="29"/>
  <c r="E63" i="29"/>
  <c r="E72" i="29"/>
  <c r="E78" i="29"/>
  <c r="E85" i="29"/>
  <c r="J85" i="29" s="1"/>
  <c r="K85" i="29" s="1"/>
  <c r="E89" i="29"/>
  <c r="E92" i="29"/>
  <c r="E96" i="29"/>
  <c r="E103" i="29"/>
  <c r="E109" i="29"/>
  <c r="E113" i="29"/>
  <c r="J113" i="29" s="1"/>
  <c r="E121" i="29"/>
  <c r="E125" i="29"/>
  <c r="E118" i="29" s="1"/>
  <c r="E138" i="29"/>
  <c r="F31" i="29"/>
  <c r="F36" i="29"/>
  <c r="F42" i="29"/>
  <c r="F46" i="29"/>
  <c r="F52" i="29"/>
  <c r="F63" i="29"/>
  <c r="F72" i="29"/>
  <c r="F78" i="29"/>
  <c r="F85" i="29"/>
  <c r="F89" i="29"/>
  <c r="F92" i="29"/>
  <c r="F96" i="29"/>
  <c r="F103" i="29"/>
  <c r="F109" i="29"/>
  <c r="F113" i="29"/>
  <c r="F121" i="29"/>
  <c r="F118" i="29" s="1"/>
  <c r="F125" i="29"/>
  <c r="F131" i="29"/>
  <c r="F129" i="29"/>
  <c r="G31" i="29"/>
  <c r="G36" i="29"/>
  <c r="G42" i="29"/>
  <c r="G46" i="29"/>
  <c r="G52" i="29"/>
  <c r="G63" i="29"/>
  <c r="G72" i="29"/>
  <c r="G78" i="29"/>
  <c r="G85" i="29"/>
  <c r="G89" i="29"/>
  <c r="G92" i="29"/>
  <c r="G96" i="29"/>
  <c r="G103" i="29"/>
  <c r="G109" i="29"/>
  <c r="G113" i="29"/>
  <c r="G121" i="29"/>
  <c r="G125" i="29"/>
  <c r="G131" i="29"/>
  <c r="G129" i="29" s="1"/>
  <c r="H31" i="29"/>
  <c r="H36" i="29"/>
  <c r="H42" i="29"/>
  <c r="H46" i="29"/>
  <c r="H52" i="29"/>
  <c r="H63" i="29"/>
  <c r="H72" i="29"/>
  <c r="H78" i="29"/>
  <c r="H85" i="29"/>
  <c r="H89" i="29"/>
  <c r="H92" i="29"/>
  <c r="H96" i="29"/>
  <c r="H103" i="29"/>
  <c r="H109" i="29"/>
  <c r="H113" i="29"/>
  <c r="H121" i="29"/>
  <c r="H125" i="29"/>
  <c r="H131" i="29"/>
  <c r="H129" i="29" s="1"/>
  <c r="I42" i="29"/>
  <c r="I46" i="29"/>
  <c r="I52" i="29"/>
  <c r="I63" i="29"/>
  <c r="I72" i="29"/>
  <c r="I78" i="29"/>
  <c r="I85" i="29"/>
  <c r="I89" i="29"/>
  <c r="I92" i="29"/>
  <c r="I96" i="29"/>
  <c r="I103" i="29"/>
  <c r="I109" i="29"/>
  <c r="I113" i="29"/>
  <c r="I121" i="29"/>
  <c r="I125" i="29"/>
  <c r="E184" i="29"/>
  <c r="E199" i="29"/>
  <c r="E197" i="29"/>
  <c r="E223" i="29"/>
  <c r="E230" i="29"/>
  <c r="E237" i="29"/>
  <c r="J237" i="29" s="1"/>
  <c r="K237" i="29" s="1"/>
  <c r="E246" i="29"/>
  <c r="E251" i="29"/>
  <c r="E262" i="29"/>
  <c r="E266" i="29"/>
  <c r="E279" i="29"/>
  <c r="E287" i="29"/>
  <c r="E285" i="29" s="1"/>
  <c r="E301" i="29"/>
  <c r="E316" i="29"/>
  <c r="E321" i="29"/>
  <c r="E324" i="29"/>
  <c r="E327" i="29"/>
  <c r="F184" i="29"/>
  <c r="F199" i="29"/>
  <c r="F197" i="29"/>
  <c r="F223" i="29"/>
  <c r="F230" i="29"/>
  <c r="F237" i="29"/>
  <c r="F246" i="29"/>
  <c r="F251" i="29"/>
  <c r="F262" i="29"/>
  <c r="F266" i="29"/>
  <c r="F287" i="29"/>
  <c r="F285" i="29" s="1"/>
  <c r="F301" i="29"/>
  <c r="F299" i="29" s="1"/>
  <c r="F316" i="29"/>
  <c r="F321" i="29"/>
  <c r="F324" i="29"/>
  <c r="F327" i="29"/>
  <c r="F315" i="29"/>
  <c r="F313" i="29" s="1"/>
  <c r="G184" i="29"/>
  <c r="G199" i="29"/>
  <c r="G197" i="29" s="1"/>
  <c r="G207" i="29"/>
  <c r="G223" i="29"/>
  <c r="G230" i="29"/>
  <c r="G237" i="29"/>
  <c r="G246" i="29"/>
  <c r="G251" i="29"/>
  <c r="G262" i="29"/>
  <c r="G266" i="29"/>
  <c r="G279" i="29"/>
  <c r="G287" i="29"/>
  <c r="G285" i="29" s="1"/>
  <c r="G299" i="29"/>
  <c r="G316" i="29"/>
  <c r="G321" i="29"/>
  <c r="G324" i="29"/>
  <c r="G327" i="29"/>
  <c r="H184" i="29"/>
  <c r="H199" i="29"/>
  <c r="H207" i="29"/>
  <c r="H237" i="29"/>
  <c r="H246" i="29"/>
  <c r="H251" i="29"/>
  <c r="H243" i="29" s="1"/>
  <c r="H262" i="29"/>
  <c r="H266" i="29"/>
  <c r="H279" i="29"/>
  <c r="H287" i="29"/>
  <c r="H285" i="29" s="1"/>
  <c r="H301" i="29"/>
  <c r="H299" i="29" s="1"/>
  <c r="H316" i="29"/>
  <c r="H321" i="29"/>
  <c r="H324" i="29"/>
  <c r="H327" i="29"/>
  <c r="I246" i="29"/>
  <c r="I262" i="29"/>
  <c r="I279" i="29"/>
  <c r="I287" i="29"/>
  <c r="I285" i="29"/>
  <c r="I316" i="29"/>
  <c r="I321" i="29"/>
  <c r="I324" i="29"/>
  <c r="I327" i="29"/>
  <c r="I363" i="29"/>
  <c r="I373" i="29"/>
  <c r="I378" i="29"/>
  <c r="I361" i="29" s="1"/>
  <c r="I385" i="29"/>
  <c r="I394" i="29"/>
  <c r="I402" i="29"/>
  <c r="I460" i="29"/>
  <c r="H363" i="29"/>
  <c r="H402" i="29"/>
  <c r="G363" i="29"/>
  <c r="G373" i="29"/>
  <c r="F363" i="29"/>
  <c r="F373" i="29"/>
  <c r="F385" i="29"/>
  <c r="F394" i="29"/>
  <c r="F383" i="29" s="1"/>
  <c r="F402" i="29"/>
  <c r="F448" i="29"/>
  <c r="E363" i="29"/>
  <c r="E373" i="29"/>
  <c r="E385" i="29"/>
  <c r="E394" i="29"/>
  <c r="E402" i="29"/>
  <c r="E383" i="29"/>
  <c r="I439" i="29"/>
  <c r="K391" i="29"/>
  <c r="K367" i="29"/>
  <c r="I223" i="29"/>
  <c r="I230" i="29"/>
  <c r="K281" i="29"/>
  <c r="K238" i="29"/>
  <c r="I237" i="29"/>
  <c r="I184" i="29"/>
  <c r="J170" i="29"/>
  <c r="J167" i="29"/>
  <c r="K167" i="29" s="1"/>
  <c r="J163" i="29"/>
  <c r="J159" i="29"/>
  <c r="K159" i="29" s="1"/>
  <c r="J156" i="29"/>
  <c r="J150" i="29"/>
  <c r="J145" i="29"/>
  <c r="J140" i="29"/>
  <c r="K123" i="29"/>
  <c r="K67" i="29"/>
  <c r="K39" i="29"/>
  <c r="J32" i="17"/>
  <c r="J33" i="17"/>
  <c r="J34" i="17"/>
  <c r="J37" i="17"/>
  <c r="I163" i="17"/>
  <c r="I161" i="17" s="1"/>
  <c r="J39" i="17"/>
  <c r="J40" i="17"/>
  <c r="J43" i="17"/>
  <c r="J44" i="17"/>
  <c r="J42" i="17" s="1"/>
  <c r="J47" i="17"/>
  <c r="J48" i="17"/>
  <c r="J49" i="17"/>
  <c r="J50" i="17"/>
  <c r="J53" i="17"/>
  <c r="J54" i="17"/>
  <c r="J55" i="17"/>
  <c r="J56" i="17"/>
  <c r="J57" i="17"/>
  <c r="J58" i="17"/>
  <c r="J59" i="17"/>
  <c r="J60" i="17"/>
  <c r="J61" i="17"/>
  <c r="J64" i="17"/>
  <c r="J65" i="17"/>
  <c r="J66" i="17"/>
  <c r="J67" i="17"/>
  <c r="J68" i="17"/>
  <c r="J63" i="17" s="1"/>
  <c r="K63" i="17" s="1"/>
  <c r="J69" i="17"/>
  <c r="J70" i="17"/>
  <c r="J73" i="17"/>
  <c r="J79" i="17"/>
  <c r="J80" i="17"/>
  <c r="J81" i="17"/>
  <c r="J82" i="17"/>
  <c r="J86" i="17"/>
  <c r="J87" i="17"/>
  <c r="J90" i="17"/>
  <c r="J93" i="17"/>
  <c r="J92" i="17" s="1"/>
  <c r="J97" i="17"/>
  <c r="J98" i="17"/>
  <c r="J104" i="17"/>
  <c r="J105" i="17"/>
  <c r="J106" i="17"/>
  <c r="J107" i="17"/>
  <c r="J110" i="17"/>
  <c r="J111" i="17"/>
  <c r="J114" i="17"/>
  <c r="J115" i="17"/>
  <c r="J116" i="17"/>
  <c r="J122" i="17"/>
  <c r="J123" i="17"/>
  <c r="K123" i="17" s="1"/>
  <c r="J126" i="17"/>
  <c r="J127" i="17"/>
  <c r="J136" i="17"/>
  <c r="J407" i="17"/>
  <c r="J408" i="17"/>
  <c r="J409" i="17"/>
  <c r="K409" i="17" s="1"/>
  <c r="J410" i="17"/>
  <c r="J411" i="17"/>
  <c r="E395" i="17"/>
  <c r="F395" i="17"/>
  <c r="G395" i="17"/>
  <c r="G393" i="17" s="1"/>
  <c r="H395" i="17"/>
  <c r="H393" i="17" s="1"/>
  <c r="I402" i="17"/>
  <c r="E375" i="17"/>
  <c r="G375" i="17"/>
  <c r="H375" i="17"/>
  <c r="I375" i="17"/>
  <c r="E330" i="17"/>
  <c r="J330" i="17" s="1"/>
  <c r="K330" i="17" s="1"/>
  <c r="I330" i="17"/>
  <c r="E339" i="17"/>
  <c r="I339" i="17"/>
  <c r="J348" i="17"/>
  <c r="J349" i="17"/>
  <c r="J350" i="17"/>
  <c r="K350" i="17" s="1"/>
  <c r="J353" i="17"/>
  <c r="E308" i="17"/>
  <c r="G308" i="17"/>
  <c r="H308" i="17"/>
  <c r="I316" i="17"/>
  <c r="I308" i="17"/>
  <c r="I306" i="17" s="1"/>
  <c r="E318" i="17"/>
  <c r="G318" i="17"/>
  <c r="I318" i="17"/>
  <c r="J324" i="17"/>
  <c r="J273" i="17"/>
  <c r="J272" i="17"/>
  <c r="K272" i="17" s="1"/>
  <c r="J271" i="17"/>
  <c r="J270" i="17"/>
  <c r="J268" i="17"/>
  <c r="J267" i="17"/>
  <c r="J266" i="17"/>
  <c r="J265" i="17"/>
  <c r="K265" i="17" s="1"/>
  <c r="J269" i="17"/>
  <c r="J259" i="17"/>
  <c r="J258" i="17"/>
  <c r="J257" i="17"/>
  <c r="J256" i="17"/>
  <c r="J255" i="17"/>
  <c r="J254" i="17"/>
  <c r="J253" i="17"/>
  <c r="J252" i="17"/>
  <c r="J251" i="17"/>
  <c r="J250" i="17"/>
  <c r="J245" i="17"/>
  <c r="K245" i="17" s="1"/>
  <c r="J244" i="17"/>
  <c r="J243" i="17"/>
  <c r="J242" i="17"/>
  <c r="J234" i="17"/>
  <c r="J226" i="17"/>
  <c r="J222" i="17"/>
  <c r="J221" i="17"/>
  <c r="J220" i="17"/>
  <c r="J219" i="17"/>
  <c r="J218" i="17"/>
  <c r="J217" i="17"/>
  <c r="J216" i="17"/>
  <c r="J215" i="17"/>
  <c r="J214" i="17"/>
  <c r="J211" i="17"/>
  <c r="J209" i="17"/>
  <c r="J210" i="17"/>
  <c r="J230" i="17"/>
  <c r="J232" i="17"/>
  <c r="J238" i="17"/>
  <c r="J201" i="17"/>
  <c r="J200" i="17"/>
  <c r="J202" i="17"/>
  <c r="J203" i="17"/>
  <c r="J193" i="17"/>
  <c r="J194" i="17"/>
  <c r="J195" i="17"/>
  <c r="J196" i="17"/>
  <c r="J197" i="17"/>
  <c r="J186" i="17"/>
  <c r="J187" i="17"/>
  <c r="J188" i="17"/>
  <c r="J189" i="17"/>
  <c r="J190" i="17"/>
  <c r="J183" i="17"/>
  <c r="E172" i="17"/>
  <c r="F172" i="17"/>
  <c r="F170" i="17" s="1"/>
  <c r="I172" i="17"/>
  <c r="I170" i="17"/>
  <c r="J159" i="17"/>
  <c r="E151" i="17"/>
  <c r="J151" i="17" s="1"/>
  <c r="J164" i="17"/>
  <c r="J165" i="17"/>
  <c r="J166" i="17"/>
  <c r="J167" i="17"/>
  <c r="J403" i="17"/>
  <c r="J400" i="17"/>
  <c r="J399" i="17"/>
  <c r="J398" i="17"/>
  <c r="J397" i="17"/>
  <c r="J345" i="17"/>
  <c r="J344" i="17"/>
  <c r="J343" i="17"/>
  <c r="J342" i="17"/>
  <c r="J341" i="17"/>
  <c r="J340" i="17"/>
  <c r="J337" i="17"/>
  <c r="J336" i="17"/>
  <c r="J335" i="17"/>
  <c r="J334" i="17"/>
  <c r="J333" i="17"/>
  <c r="J332" i="17"/>
  <c r="J331" i="17"/>
  <c r="J321" i="17"/>
  <c r="J320" i="17"/>
  <c r="J319" i="17"/>
  <c r="J314" i="17"/>
  <c r="J315" i="17"/>
  <c r="J168" i="17"/>
  <c r="J135" i="17"/>
  <c r="J134" i="17"/>
  <c r="J133" i="17"/>
  <c r="J131" i="17" s="1"/>
  <c r="I131" i="17"/>
  <c r="I129" i="17"/>
  <c r="J140" i="17"/>
  <c r="K400" i="17" s="1"/>
  <c r="E352" i="17"/>
  <c r="F352" i="17"/>
  <c r="G352" i="17"/>
  <c r="G328" i="17" s="1"/>
  <c r="H352" i="17"/>
  <c r="I352" i="17"/>
  <c r="E347" i="17"/>
  <c r="F347" i="17"/>
  <c r="H347" i="17"/>
  <c r="H328" i="17" s="1"/>
  <c r="I347" i="17"/>
  <c r="E323" i="17"/>
  <c r="F323" i="17"/>
  <c r="F306" i="17" s="1"/>
  <c r="G323" i="17"/>
  <c r="H323" i="17"/>
  <c r="I323" i="17"/>
  <c r="E149" i="17"/>
  <c r="E163" i="17"/>
  <c r="E185" i="17"/>
  <c r="E192" i="17"/>
  <c r="E199" i="17"/>
  <c r="E208" i="17"/>
  <c r="E213" i="17"/>
  <c r="E224" i="17"/>
  <c r="E228" i="17"/>
  <c r="E241" i="17"/>
  <c r="E249" i="17"/>
  <c r="E247" i="17" s="1"/>
  <c r="E263" i="17"/>
  <c r="E261" i="17" s="1"/>
  <c r="F149" i="17"/>
  <c r="J149" i="17" s="1"/>
  <c r="K149" i="17" s="1"/>
  <c r="F163" i="17"/>
  <c r="F161" i="17" s="1"/>
  <c r="F185" i="17"/>
  <c r="F192" i="17"/>
  <c r="F199" i="17"/>
  <c r="F208" i="17"/>
  <c r="F213" i="17"/>
  <c r="F224" i="17"/>
  <c r="F228" i="17"/>
  <c r="F249" i="17"/>
  <c r="F247" i="17"/>
  <c r="F263" i="17"/>
  <c r="F261" i="17"/>
  <c r="J261" i="17" s="1"/>
  <c r="K261" i="17" s="1"/>
  <c r="G149" i="17"/>
  <c r="G163" i="17"/>
  <c r="G170" i="17"/>
  <c r="G185" i="17"/>
  <c r="G192" i="17"/>
  <c r="G199" i="17"/>
  <c r="G208" i="17"/>
  <c r="G213" i="17"/>
  <c r="G224" i="17"/>
  <c r="G228" i="17"/>
  <c r="G241" i="17"/>
  <c r="G249" i="17"/>
  <c r="G247" i="17" s="1"/>
  <c r="G261" i="17"/>
  <c r="H149" i="17"/>
  <c r="H163" i="17"/>
  <c r="H161" i="17" s="1"/>
  <c r="H170" i="17"/>
  <c r="H185" i="17"/>
  <c r="H146" i="17" s="1"/>
  <c r="H199" i="17"/>
  <c r="H208" i="17"/>
  <c r="H213" i="17"/>
  <c r="H224" i="17"/>
  <c r="H228" i="17"/>
  <c r="H241" i="17"/>
  <c r="H205" i="17" s="1"/>
  <c r="H249" i="17"/>
  <c r="H263" i="17"/>
  <c r="H261" i="17" s="1"/>
  <c r="I208" i="17"/>
  <c r="I213" i="17"/>
  <c r="I224" i="17"/>
  <c r="I228" i="17"/>
  <c r="I241" i="17"/>
  <c r="I249" i="17"/>
  <c r="I247" i="17"/>
  <c r="I263" i="17"/>
  <c r="I261" i="17"/>
  <c r="I42" i="17"/>
  <c r="I46" i="17"/>
  <c r="I52" i="17"/>
  <c r="I63" i="17"/>
  <c r="I72" i="17"/>
  <c r="I78" i="17"/>
  <c r="I85" i="17"/>
  <c r="I75" i="17" s="1"/>
  <c r="I89" i="17"/>
  <c r="I92" i="17"/>
  <c r="I96" i="17"/>
  <c r="I103" i="17"/>
  <c r="I109" i="17"/>
  <c r="I113" i="17"/>
  <c r="I100" i="17" s="1"/>
  <c r="I121" i="17"/>
  <c r="I125" i="17"/>
  <c r="E31" i="17"/>
  <c r="E36" i="17"/>
  <c r="E42" i="17"/>
  <c r="E46" i="17"/>
  <c r="E52" i="17"/>
  <c r="E63" i="17"/>
  <c r="E72" i="17"/>
  <c r="E78" i="17"/>
  <c r="E85" i="17"/>
  <c r="E89" i="17"/>
  <c r="J89" i="17" s="1"/>
  <c r="E92" i="17"/>
  <c r="E96" i="17"/>
  <c r="E103" i="17"/>
  <c r="E109" i="17"/>
  <c r="E113" i="17"/>
  <c r="E121" i="17"/>
  <c r="E118" i="17" s="1"/>
  <c r="E125" i="17"/>
  <c r="E131" i="17"/>
  <c r="E129" i="17"/>
  <c r="F31" i="17"/>
  <c r="F36" i="17"/>
  <c r="F42" i="17"/>
  <c r="F28" i="17" s="1"/>
  <c r="F46" i="17"/>
  <c r="F52" i="17"/>
  <c r="F63" i="17"/>
  <c r="F72" i="17"/>
  <c r="F78" i="17"/>
  <c r="F85" i="17"/>
  <c r="F75" i="17" s="1"/>
  <c r="F89" i="17"/>
  <c r="F92" i="17"/>
  <c r="F96" i="17"/>
  <c r="F103" i="17"/>
  <c r="F109" i="17"/>
  <c r="F113" i="17"/>
  <c r="F121" i="17"/>
  <c r="F118" i="17" s="1"/>
  <c r="F125" i="17"/>
  <c r="F131" i="17"/>
  <c r="F129" i="17" s="1"/>
  <c r="G31" i="17"/>
  <c r="G36" i="17"/>
  <c r="G42" i="17"/>
  <c r="G46" i="17"/>
  <c r="G52" i="17"/>
  <c r="G63" i="17"/>
  <c r="G72" i="17"/>
  <c r="G78" i="17"/>
  <c r="G85" i="17"/>
  <c r="G89" i="17"/>
  <c r="G92" i="17"/>
  <c r="G96" i="17"/>
  <c r="G103" i="17"/>
  <c r="G109" i="17"/>
  <c r="G113" i="17"/>
  <c r="G121" i="17"/>
  <c r="G125" i="17"/>
  <c r="G131" i="17"/>
  <c r="G129" i="17" s="1"/>
  <c r="H31" i="17"/>
  <c r="H36" i="17"/>
  <c r="H42" i="17"/>
  <c r="H46" i="17"/>
  <c r="H52" i="17"/>
  <c r="H63" i="17"/>
  <c r="H72" i="17"/>
  <c r="H78" i="17"/>
  <c r="H85" i="17"/>
  <c r="H89" i="17"/>
  <c r="H92" i="17"/>
  <c r="H96" i="17"/>
  <c r="H103" i="17"/>
  <c r="H100" i="17" s="1"/>
  <c r="H109" i="17"/>
  <c r="H113" i="17"/>
  <c r="H121" i="17"/>
  <c r="H125" i="17"/>
  <c r="H118" i="17"/>
  <c r="H131" i="17"/>
  <c r="H129" i="17" s="1"/>
  <c r="E367" i="17"/>
  <c r="E299" i="17"/>
  <c r="J309" i="17"/>
  <c r="K309" i="17"/>
  <c r="J310" i="17"/>
  <c r="K310" i="17" s="1"/>
  <c r="J311" i="17"/>
  <c r="J312" i="17"/>
  <c r="J313" i="17"/>
  <c r="J316" i="17"/>
  <c r="E384" i="17"/>
  <c r="E373" i="17" s="1"/>
  <c r="F384" i="17"/>
  <c r="G384" i="17"/>
  <c r="H384" i="17"/>
  <c r="H373" i="17" s="1"/>
  <c r="E405" i="17"/>
  <c r="F405" i="17"/>
  <c r="G405" i="17"/>
  <c r="H405" i="17"/>
  <c r="I405" i="17"/>
  <c r="I384" i="17"/>
  <c r="I185" i="17"/>
  <c r="I192" i="17"/>
  <c r="J192" i="17" s="1"/>
  <c r="K244" i="17"/>
  <c r="K243" i="17"/>
  <c r="I199" i="17"/>
  <c r="I149" i="17"/>
  <c r="K122" i="17"/>
  <c r="K87" i="17"/>
  <c r="J331" i="9"/>
  <c r="J332" i="9"/>
  <c r="K332" i="9" s="1"/>
  <c r="J333" i="9"/>
  <c r="K333" i="9" s="1"/>
  <c r="J334" i="9"/>
  <c r="K334" i="9" s="1"/>
  <c r="J330" i="9"/>
  <c r="K330" i="9" s="1"/>
  <c r="J34" i="9"/>
  <c r="J399" i="9"/>
  <c r="K399" i="9" s="1"/>
  <c r="J398" i="9"/>
  <c r="K398" i="9" s="1"/>
  <c r="J397" i="9"/>
  <c r="J392" i="9"/>
  <c r="K392" i="9" s="1"/>
  <c r="I391" i="9"/>
  <c r="J391" i="9"/>
  <c r="K391" i="9" s="1"/>
  <c r="J390" i="9"/>
  <c r="K390" i="9" s="1"/>
  <c r="J389" i="9"/>
  <c r="K389" i="9"/>
  <c r="J388" i="9"/>
  <c r="K388" i="9" s="1"/>
  <c r="J338" i="9"/>
  <c r="K338" i="9" s="1"/>
  <c r="J327" i="9"/>
  <c r="I326" i="9"/>
  <c r="I320" i="9"/>
  <c r="J326" i="9"/>
  <c r="J325" i="9"/>
  <c r="J324" i="9"/>
  <c r="K324" i="9" s="1"/>
  <c r="J323" i="9"/>
  <c r="K323" i="9" s="1"/>
  <c r="J322" i="9"/>
  <c r="K322" i="9"/>
  <c r="J311" i="9"/>
  <c r="J310" i="9"/>
  <c r="J306" i="9"/>
  <c r="I305" i="9"/>
  <c r="J304" i="9"/>
  <c r="J303" i="9"/>
  <c r="K303" i="9" s="1"/>
  <c r="J302" i="9"/>
  <c r="K302" i="9" s="1"/>
  <c r="J301" i="9"/>
  <c r="K301" i="9" s="1"/>
  <c r="J236" i="9"/>
  <c r="K236" i="9" s="1"/>
  <c r="J235" i="9"/>
  <c r="K235" i="9"/>
  <c r="J234" i="9"/>
  <c r="J230" i="9"/>
  <c r="K230" i="9" s="1"/>
  <c r="I229" i="9"/>
  <c r="J225" i="9"/>
  <c r="K225" i="9"/>
  <c r="I223" i="9"/>
  <c r="J223" i="9" s="1"/>
  <c r="J202" i="9"/>
  <c r="K202" i="9"/>
  <c r="J201" i="9"/>
  <c r="J194" i="9"/>
  <c r="K194" i="9" s="1"/>
  <c r="J193" i="9"/>
  <c r="K193" i="9" s="1"/>
  <c r="J189" i="9"/>
  <c r="K189" i="9" s="1"/>
  <c r="J188" i="9"/>
  <c r="K188" i="9" s="1"/>
  <c r="J187" i="9"/>
  <c r="K187" i="9" s="1"/>
  <c r="J183" i="9"/>
  <c r="K183" i="9" s="1"/>
  <c r="J182" i="9"/>
  <c r="K182" i="9" s="1"/>
  <c r="J181" i="9"/>
  <c r="K181" i="9" s="1"/>
  <c r="J180" i="9"/>
  <c r="K180" i="9"/>
  <c r="I164" i="9"/>
  <c r="I163" i="9"/>
  <c r="J163" i="9"/>
  <c r="G162" i="9"/>
  <c r="J162" i="9"/>
  <c r="I162" i="9"/>
  <c r="I138" i="9"/>
  <c r="J138" i="9" s="1"/>
  <c r="I137" i="9"/>
  <c r="J137" i="9" s="1"/>
  <c r="I136" i="9"/>
  <c r="J129" i="9"/>
  <c r="J125" i="9"/>
  <c r="J118" i="9"/>
  <c r="J117" i="9"/>
  <c r="J113" i="9"/>
  <c r="J109" i="9"/>
  <c r="K109" i="9" s="1"/>
  <c r="J108" i="9"/>
  <c r="K108" i="9" s="1"/>
  <c r="J107" i="9"/>
  <c r="K107" i="9" s="1"/>
  <c r="F100" i="9"/>
  <c r="F221" i="9"/>
  <c r="J89" i="9"/>
  <c r="K89" i="9" s="1"/>
  <c r="J84" i="9"/>
  <c r="K84" i="9" s="1"/>
  <c r="J83" i="9"/>
  <c r="J82" i="9"/>
  <c r="K82" i="9" s="1"/>
  <c r="J72" i="9"/>
  <c r="J71" i="9"/>
  <c r="K71" i="9" s="1"/>
  <c r="J70" i="9"/>
  <c r="K70" i="9" s="1"/>
  <c r="J69" i="9"/>
  <c r="K69" i="9" s="1"/>
  <c r="J68" i="9"/>
  <c r="K68" i="9" s="1"/>
  <c r="J67" i="9"/>
  <c r="K67" i="9" s="1"/>
  <c r="J66" i="9"/>
  <c r="J62" i="9"/>
  <c r="K62" i="9" s="1"/>
  <c r="J61" i="9"/>
  <c r="K61" i="9" s="1"/>
  <c r="J60" i="9"/>
  <c r="J58" i="9"/>
  <c r="K58" i="9" s="1"/>
  <c r="J57" i="9"/>
  <c r="K57" i="9" s="1"/>
  <c r="J55" i="9"/>
  <c r="J50" i="9"/>
  <c r="J49" i="9"/>
  <c r="K49" i="9" s="1"/>
  <c r="J48" i="9"/>
  <c r="J44" i="9"/>
  <c r="J40" i="9"/>
  <c r="K40" i="9" s="1"/>
  <c r="J39" i="9"/>
  <c r="K39" i="9"/>
  <c r="E160" i="9"/>
  <c r="F160" i="9"/>
  <c r="G160" i="9"/>
  <c r="H160" i="9"/>
  <c r="J309" i="9"/>
  <c r="J314" i="9"/>
  <c r="K314" i="9" s="1"/>
  <c r="J337" i="9"/>
  <c r="K337" i="9" s="1"/>
  <c r="J396" i="9"/>
  <c r="K396" i="9" s="1"/>
  <c r="J75" i="9"/>
  <c r="K75" i="9" s="1"/>
  <c r="J88" i="9"/>
  <c r="K88" i="9"/>
  <c r="J92" i="9"/>
  <c r="K92" i="9" s="1"/>
  <c r="J95" i="9"/>
  <c r="J99" i="9"/>
  <c r="J112" i="9"/>
  <c r="J116" i="9"/>
  <c r="J128" i="9"/>
  <c r="K128" i="9"/>
  <c r="I135" i="9"/>
  <c r="J135" i="9"/>
  <c r="I161" i="9"/>
  <c r="I205" i="9"/>
  <c r="J206" i="9"/>
  <c r="K206" i="9"/>
  <c r="J207" i="9"/>
  <c r="K207" i="9"/>
  <c r="J208" i="9"/>
  <c r="K208" i="9" s="1"/>
  <c r="J209" i="9"/>
  <c r="J210" i="9"/>
  <c r="K210" i="9" s="1"/>
  <c r="J211" i="9"/>
  <c r="J212" i="9"/>
  <c r="K212" i="9"/>
  <c r="J217" i="9"/>
  <c r="K217" i="9"/>
  <c r="J32" i="9"/>
  <c r="K32" i="9" s="1"/>
  <c r="J33" i="9"/>
  <c r="J37" i="9"/>
  <c r="J43" i="9"/>
  <c r="J47" i="9"/>
  <c r="K47" i="9"/>
  <c r="J54" i="9"/>
  <c r="J56" i="9"/>
  <c r="J81" i="9"/>
  <c r="K81" i="9" s="1"/>
  <c r="J106" i="9"/>
  <c r="J124" i="9"/>
  <c r="J300" i="9"/>
  <c r="F365" i="9"/>
  <c r="F363" i="9" s="1"/>
  <c r="G368" i="9"/>
  <c r="G365" i="9" s="1"/>
  <c r="G363" i="9" s="1"/>
  <c r="I151" i="9"/>
  <c r="J228" i="9"/>
  <c r="K228" i="9" s="1"/>
  <c r="E166" i="9"/>
  <c r="I166" i="9"/>
  <c r="J179" i="9"/>
  <c r="K179" i="9" s="1"/>
  <c r="J186" i="9"/>
  <c r="K186" i="9" s="1"/>
  <c r="F192" i="9"/>
  <c r="J200" i="9"/>
  <c r="K200" i="9"/>
  <c r="J213" i="9"/>
  <c r="J233" i="9"/>
  <c r="K233" i="9" s="1"/>
  <c r="E240" i="9"/>
  <c r="F240" i="9"/>
  <c r="I240" i="9"/>
  <c r="I238" i="9"/>
  <c r="I256" i="9"/>
  <c r="J256" i="9"/>
  <c r="J321" i="9"/>
  <c r="K321" i="9" s="1"/>
  <c r="J387" i="9"/>
  <c r="E299" i="9"/>
  <c r="E308" i="9"/>
  <c r="E313" i="9"/>
  <c r="E320" i="9"/>
  <c r="E329" i="9"/>
  <c r="E336" i="9"/>
  <c r="E385" i="9"/>
  <c r="E394" i="9"/>
  <c r="E31" i="9"/>
  <c r="E36" i="9"/>
  <c r="E42" i="9"/>
  <c r="E46" i="9"/>
  <c r="E53" i="9"/>
  <c r="E65" i="9"/>
  <c r="E74" i="9"/>
  <c r="E80" i="9"/>
  <c r="E87" i="9"/>
  <c r="E91" i="9"/>
  <c r="E94" i="9"/>
  <c r="E98" i="9"/>
  <c r="E105" i="9"/>
  <c r="E111" i="9"/>
  <c r="E115" i="9"/>
  <c r="E123" i="9"/>
  <c r="E120" i="9" s="1"/>
  <c r="E127" i="9"/>
  <c r="E133" i="9"/>
  <c r="E131" i="9" s="1"/>
  <c r="E178" i="9"/>
  <c r="E185" i="9"/>
  <c r="E191" i="9"/>
  <c r="E199" i="9"/>
  <c r="E204" i="9"/>
  <c r="E196" i="9" s="1"/>
  <c r="E215" i="9"/>
  <c r="E227" i="9"/>
  <c r="E232" i="9"/>
  <c r="E254" i="9"/>
  <c r="E252" i="9" s="1"/>
  <c r="F299" i="9"/>
  <c r="F308" i="9"/>
  <c r="F313" i="9"/>
  <c r="F320" i="9"/>
  <c r="F329" i="9"/>
  <c r="F336" i="9"/>
  <c r="F385" i="9"/>
  <c r="F394" i="9"/>
  <c r="F31" i="9"/>
  <c r="F36" i="9"/>
  <c r="F42" i="9"/>
  <c r="F46" i="9"/>
  <c r="F53" i="9"/>
  <c r="F65" i="9"/>
  <c r="F28" i="9" s="1"/>
  <c r="F25" i="9" s="1"/>
  <c r="F74" i="9"/>
  <c r="F80" i="9"/>
  <c r="F87" i="9"/>
  <c r="F91" i="9"/>
  <c r="F94" i="9"/>
  <c r="F105" i="9"/>
  <c r="F111" i="9"/>
  <c r="F115" i="9"/>
  <c r="F123" i="9"/>
  <c r="F127" i="9"/>
  <c r="F120" i="9" s="1"/>
  <c r="F133" i="9"/>
  <c r="F178" i="9"/>
  <c r="J178" i="9" s="1"/>
  <c r="K178" i="9" s="1"/>
  <c r="F185" i="9"/>
  <c r="F199" i="9"/>
  <c r="F204" i="9"/>
  <c r="F215" i="9"/>
  <c r="F227" i="9"/>
  <c r="F232" i="9"/>
  <c r="J232" i="9" s="1"/>
  <c r="K232" i="9" s="1"/>
  <c r="F238" i="9"/>
  <c r="F263" i="9"/>
  <c r="F254" i="9"/>
  <c r="F252" i="9" s="1"/>
  <c r="G299" i="9"/>
  <c r="G308" i="9"/>
  <c r="G313" i="9"/>
  <c r="G320" i="9"/>
  <c r="G318" i="9" s="1"/>
  <c r="G329" i="9"/>
  <c r="G336" i="9"/>
  <c r="G385" i="9"/>
  <c r="G394" i="9"/>
  <c r="G31" i="9"/>
  <c r="G36" i="9"/>
  <c r="G42" i="9"/>
  <c r="G46" i="9"/>
  <c r="G53" i="9"/>
  <c r="G65" i="9"/>
  <c r="G74" i="9"/>
  <c r="J74" i="9" s="1"/>
  <c r="K74" i="9" s="1"/>
  <c r="G80" i="9"/>
  <c r="G87" i="9"/>
  <c r="G91" i="9"/>
  <c r="G94" i="9"/>
  <c r="G98" i="9"/>
  <c r="G105" i="9"/>
  <c r="G111" i="9"/>
  <c r="G115" i="9"/>
  <c r="G123" i="9"/>
  <c r="G120" i="9" s="1"/>
  <c r="G127" i="9"/>
  <c r="G133" i="9"/>
  <c r="G131" i="9"/>
  <c r="G178" i="9"/>
  <c r="G185" i="9"/>
  <c r="G191" i="9"/>
  <c r="G199" i="9"/>
  <c r="G204" i="9"/>
  <c r="G215" i="9"/>
  <c r="G227" i="9"/>
  <c r="G219" i="9" s="1"/>
  <c r="G232" i="9"/>
  <c r="G238" i="9"/>
  <c r="G254" i="9"/>
  <c r="G252" i="9" s="1"/>
  <c r="H299" i="9"/>
  <c r="H308" i="9"/>
  <c r="H313" i="9"/>
  <c r="H320" i="9"/>
  <c r="H329" i="9"/>
  <c r="H336" i="9"/>
  <c r="H385" i="9"/>
  <c r="H394" i="9"/>
  <c r="H31" i="9"/>
  <c r="H36" i="9"/>
  <c r="H42" i="9"/>
  <c r="H46" i="9"/>
  <c r="H53" i="9"/>
  <c r="H65" i="9"/>
  <c r="H74" i="9"/>
  <c r="H80" i="9"/>
  <c r="H87" i="9"/>
  <c r="H91" i="9"/>
  <c r="H94" i="9"/>
  <c r="H98" i="9"/>
  <c r="H105" i="9"/>
  <c r="H111" i="9"/>
  <c r="H115" i="9"/>
  <c r="H123" i="9"/>
  <c r="H127" i="9"/>
  <c r="H133" i="9"/>
  <c r="H131" i="9" s="1"/>
  <c r="H178" i="9"/>
  <c r="H185" i="9"/>
  <c r="H191" i="9"/>
  <c r="H199" i="9"/>
  <c r="H204" i="9"/>
  <c r="H215" i="9"/>
  <c r="H227" i="9"/>
  <c r="H219" i="9"/>
  <c r="H232" i="9"/>
  <c r="H238" i="9"/>
  <c r="H254" i="9"/>
  <c r="H252" i="9" s="1"/>
  <c r="I308" i="9"/>
  <c r="I313" i="9"/>
  <c r="I329" i="9"/>
  <c r="I336" i="9"/>
  <c r="I385" i="9"/>
  <c r="I394" i="9"/>
  <c r="I42" i="9"/>
  <c r="I46" i="9"/>
  <c r="I53" i="9"/>
  <c r="I65" i="9"/>
  <c r="I74" i="9"/>
  <c r="I80" i="9"/>
  <c r="I87" i="9"/>
  <c r="I91" i="9"/>
  <c r="I94" i="9"/>
  <c r="I105" i="9"/>
  <c r="I111" i="9"/>
  <c r="I115" i="9"/>
  <c r="I123" i="9"/>
  <c r="I127" i="9"/>
  <c r="I120" i="9" s="1"/>
  <c r="I178" i="9"/>
  <c r="I185" i="9"/>
  <c r="I191" i="9"/>
  <c r="I199" i="9"/>
  <c r="I215" i="9"/>
  <c r="I232" i="9"/>
  <c r="I254" i="9"/>
  <c r="I252" i="9" s="1"/>
  <c r="K331" i="9"/>
  <c r="K325" i="9"/>
  <c r="K311" i="9"/>
  <c r="K310" i="9"/>
  <c r="K309" i="9"/>
  <c r="K304" i="9"/>
  <c r="K300" i="9"/>
  <c r="K213" i="9"/>
  <c r="K211" i="9"/>
  <c r="K209" i="9"/>
  <c r="K201" i="9"/>
  <c r="K129" i="9"/>
  <c r="K106" i="9"/>
  <c r="K99" i="9"/>
  <c r="K83" i="9"/>
  <c r="K72" i="9"/>
  <c r="K60" i="9"/>
  <c r="K55" i="9"/>
  <c r="K54" i="9"/>
  <c r="K50" i="9"/>
  <c r="K44" i="9"/>
  <c r="K37" i="9"/>
  <c r="K33" i="9"/>
  <c r="J62" i="16"/>
  <c r="K62" i="16" s="1"/>
  <c r="F372" i="16"/>
  <c r="F370" i="16" s="1"/>
  <c r="G372" i="16"/>
  <c r="G370" i="16" s="1"/>
  <c r="J39" i="16"/>
  <c r="J407" i="16"/>
  <c r="K407" i="16" s="1"/>
  <c r="J406" i="16"/>
  <c r="K406" i="16" s="1"/>
  <c r="J405" i="16"/>
  <c r="K405" i="16" s="1"/>
  <c r="J400" i="16"/>
  <c r="K400" i="16" s="1"/>
  <c r="I399" i="16"/>
  <c r="G397" i="16"/>
  <c r="J397" i="16"/>
  <c r="J396" i="16"/>
  <c r="J395" i="16"/>
  <c r="K395" i="16" s="1"/>
  <c r="J345" i="16"/>
  <c r="K345" i="16" s="1"/>
  <c r="J341" i="16"/>
  <c r="J340" i="16"/>
  <c r="K340" i="16" s="1"/>
  <c r="J339" i="16"/>
  <c r="K339" i="16" s="1"/>
  <c r="J338" i="16"/>
  <c r="K338" i="16" s="1"/>
  <c r="J334" i="16"/>
  <c r="I333" i="16"/>
  <c r="J332" i="16"/>
  <c r="K332" i="16" s="1"/>
  <c r="J331" i="16"/>
  <c r="K331" i="16" s="1"/>
  <c r="J330" i="16"/>
  <c r="K330" i="16"/>
  <c r="J329" i="16"/>
  <c r="K329" i="16" s="1"/>
  <c r="J318" i="16"/>
  <c r="K318" i="16" s="1"/>
  <c r="J317" i="16"/>
  <c r="K317" i="16" s="1"/>
  <c r="I312" i="16"/>
  <c r="J312" i="16" s="1"/>
  <c r="J311" i="16"/>
  <c r="K311" i="16"/>
  <c r="J310" i="16"/>
  <c r="J309" i="16"/>
  <c r="J308" i="16"/>
  <c r="J270" i="16"/>
  <c r="K270" i="16" s="1"/>
  <c r="J269" i="16"/>
  <c r="J268" i="16"/>
  <c r="K268" i="16" s="1"/>
  <c r="J267" i="16"/>
  <c r="J266" i="16"/>
  <c r="K266" i="16" s="1"/>
  <c r="J265" i="16"/>
  <c r="J264" i="16"/>
  <c r="K264" i="16" s="1"/>
  <c r="J263" i="16"/>
  <c r="J242" i="16"/>
  <c r="K242" i="16" s="1"/>
  <c r="J241" i="16"/>
  <c r="K241" i="16" s="1"/>
  <c r="J240" i="16"/>
  <c r="E236" i="16"/>
  <c r="E182" i="16" s="1"/>
  <c r="F182" i="16"/>
  <c r="G182" i="16"/>
  <c r="G169" i="16" s="1"/>
  <c r="H236" i="16"/>
  <c r="I184" i="16"/>
  <c r="I182" i="16" s="1"/>
  <c r="E167" i="16"/>
  <c r="F167" i="16"/>
  <c r="G167" i="16"/>
  <c r="H167" i="16"/>
  <c r="I231" i="16"/>
  <c r="J231" i="16" s="1"/>
  <c r="I229" i="16"/>
  <c r="J208" i="16"/>
  <c r="K208" i="16"/>
  <c r="J207" i="16"/>
  <c r="J200" i="16"/>
  <c r="K200" i="16" s="1"/>
  <c r="J199" i="16"/>
  <c r="K199" i="16" s="1"/>
  <c r="J195" i="16"/>
  <c r="K195" i="16" s="1"/>
  <c r="J194" i="16"/>
  <c r="K194" i="16" s="1"/>
  <c r="J193" i="16"/>
  <c r="J189" i="16"/>
  <c r="K189" i="16" s="1"/>
  <c r="J188" i="16"/>
  <c r="K188" i="16" s="1"/>
  <c r="J187" i="16"/>
  <c r="K187" i="16" s="1"/>
  <c r="J186" i="16"/>
  <c r="K186" i="16" s="1"/>
  <c r="I166" i="16"/>
  <c r="I165" i="16"/>
  <c r="I164" i="16"/>
  <c r="J164" i="16"/>
  <c r="G137" i="16"/>
  <c r="I136" i="16"/>
  <c r="J136" i="16" s="1"/>
  <c r="I135" i="16"/>
  <c r="J135" i="16" s="1"/>
  <c r="J128" i="16"/>
  <c r="K128" i="16" s="1"/>
  <c r="J124" i="16"/>
  <c r="J117" i="16"/>
  <c r="J116" i="16"/>
  <c r="J112" i="16"/>
  <c r="J108" i="16"/>
  <c r="K108" i="16" s="1"/>
  <c r="J107" i="16"/>
  <c r="K107" i="16"/>
  <c r="J106" i="16"/>
  <c r="K106" i="16" s="1"/>
  <c r="I104" i="16"/>
  <c r="I110" i="16"/>
  <c r="I101" i="16" s="1"/>
  <c r="I99" i="16" s="1"/>
  <c r="I114" i="16"/>
  <c r="J88" i="16"/>
  <c r="K88" i="16"/>
  <c r="J83" i="16"/>
  <c r="K83" i="16"/>
  <c r="J82" i="16"/>
  <c r="K82" i="16" s="1"/>
  <c r="J81" i="16"/>
  <c r="J71" i="16"/>
  <c r="K71" i="16" s="1"/>
  <c r="J70" i="16"/>
  <c r="J69" i="16"/>
  <c r="K69" i="16"/>
  <c r="J68" i="16"/>
  <c r="K68" i="16" s="1"/>
  <c r="J67" i="16"/>
  <c r="K67" i="16" s="1"/>
  <c r="J66" i="16"/>
  <c r="K66" i="16"/>
  <c r="J65" i="16"/>
  <c r="J61" i="16"/>
  <c r="K61" i="16" s="1"/>
  <c r="J60" i="16"/>
  <c r="K60" i="16" s="1"/>
  <c r="J59" i="16"/>
  <c r="J57" i="16"/>
  <c r="J56" i="16"/>
  <c r="K56" i="16" s="1"/>
  <c r="J54" i="16"/>
  <c r="J50" i="16"/>
  <c r="K50" i="16" s="1"/>
  <c r="J49" i="16"/>
  <c r="J48" i="16"/>
  <c r="K48" i="16" s="1"/>
  <c r="J44" i="16"/>
  <c r="J40" i="16"/>
  <c r="K40" i="16" s="1"/>
  <c r="E162" i="16"/>
  <c r="F162" i="16"/>
  <c r="F161" i="16" s="1"/>
  <c r="G162" i="16"/>
  <c r="G161" i="16" s="1"/>
  <c r="H162" i="16"/>
  <c r="H161" i="16" s="1"/>
  <c r="J34" i="16"/>
  <c r="J31" i="16" s="1"/>
  <c r="J316" i="16"/>
  <c r="J321" i="16"/>
  <c r="K321" i="16" s="1"/>
  <c r="J337" i="16"/>
  <c r="K337" i="16" s="1"/>
  <c r="J344" i="16"/>
  <c r="K344" i="16"/>
  <c r="J404" i="16"/>
  <c r="J74" i="16"/>
  <c r="K74" i="16" s="1"/>
  <c r="J87" i="16"/>
  <c r="K87" i="16" s="1"/>
  <c r="J91" i="16"/>
  <c r="K91" i="16" s="1"/>
  <c r="J94" i="16"/>
  <c r="J93" i="16" s="1"/>
  <c r="K93" i="16" s="1"/>
  <c r="J98" i="16"/>
  <c r="K98" i="16" s="1"/>
  <c r="J111" i="16"/>
  <c r="J115" i="16"/>
  <c r="J127" i="16"/>
  <c r="K127" i="16" s="1"/>
  <c r="I134" i="16"/>
  <c r="I163" i="16"/>
  <c r="J163" i="16" s="1"/>
  <c r="I211" i="16"/>
  <c r="J212" i="16"/>
  <c r="J213" i="16"/>
  <c r="K213" i="16" s="1"/>
  <c r="J214" i="16"/>
  <c r="K214" i="16" s="1"/>
  <c r="J215" i="16"/>
  <c r="K215" i="16"/>
  <c r="J216" i="16"/>
  <c r="K216" i="16" s="1"/>
  <c r="J217" i="16"/>
  <c r="K217" i="16"/>
  <c r="J218" i="16"/>
  <c r="J223" i="16"/>
  <c r="K223" i="16" s="1"/>
  <c r="I227" i="16"/>
  <c r="J227" i="16" s="1"/>
  <c r="J32" i="16"/>
  <c r="J33" i="16"/>
  <c r="J37" i="16"/>
  <c r="K37" i="16" s="1"/>
  <c r="J43" i="16"/>
  <c r="J47" i="16"/>
  <c r="J53" i="16"/>
  <c r="K53" i="16" s="1"/>
  <c r="J55" i="16"/>
  <c r="J80" i="16"/>
  <c r="K80" i="16" s="1"/>
  <c r="J105" i="16"/>
  <c r="K105" i="16" s="1"/>
  <c r="J123" i="16"/>
  <c r="J307" i="16"/>
  <c r="E151" i="16"/>
  <c r="E150" i="16" s="1"/>
  <c r="I151" i="16"/>
  <c r="J151" i="16"/>
  <c r="K151" i="16" s="1"/>
  <c r="E159" i="16"/>
  <c r="F159" i="16"/>
  <c r="G159" i="16"/>
  <c r="G150" i="16" s="1"/>
  <c r="G147" i="16" s="1"/>
  <c r="G144" i="16" s="1"/>
  <c r="H159" i="16"/>
  <c r="H150" i="16" s="1"/>
  <c r="E170" i="16"/>
  <c r="F170" i="16"/>
  <c r="F169" i="16" s="1"/>
  <c r="I170" i="16"/>
  <c r="I169" i="16" s="1"/>
  <c r="J185" i="16"/>
  <c r="K185" i="16" s="1"/>
  <c r="J192" i="16"/>
  <c r="K192" i="16" s="1"/>
  <c r="J198" i="16"/>
  <c r="K198" i="16" s="1"/>
  <c r="J206" i="16"/>
  <c r="K206" i="16" s="1"/>
  <c r="J219" i="16"/>
  <c r="K219" i="16" s="1"/>
  <c r="J239" i="16"/>
  <c r="J247" i="16"/>
  <c r="J248" i="16"/>
  <c r="J249" i="16"/>
  <c r="J250" i="16"/>
  <c r="J251" i="16"/>
  <c r="J252" i="16"/>
  <c r="J253" i="16"/>
  <c r="J254" i="16"/>
  <c r="J255" i="16"/>
  <c r="J256" i="16"/>
  <c r="I262" i="16"/>
  <c r="J328" i="16"/>
  <c r="J394" i="16"/>
  <c r="E315" i="16"/>
  <c r="F315" i="16"/>
  <c r="G315" i="16"/>
  <c r="H315" i="16"/>
  <c r="E320" i="16"/>
  <c r="F320" i="16"/>
  <c r="J320" i="16" s="1"/>
  <c r="K320" i="16" s="1"/>
  <c r="G320" i="16"/>
  <c r="H320" i="16"/>
  <c r="E327" i="16"/>
  <c r="F327" i="16"/>
  <c r="G327" i="16"/>
  <c r="J327" i="16" s="1"/>
  <c r="K327" i="16" s="1"/>
  <c r="H327" i="16"/>
  <c r="E336" i="16"/>
  <c r="F336" i="16"/>
  <c r="G336" i="16"/>
  <c r="H336" i="16"/>
  <c r="E343" i="16"/>
  <c r="E325" i="16" s="1"/>
  <c r="E348" i="16" s="1"/>
  <c r="F343" i="16"/>
  <c r="G343" i="16"/>
  <c r="H343" i="16"/>
  <c r="E31" i="16"/>
  <c r="E36" i="16"/>
  <c r="E42" i="16"/>
  <c r="E46" i="16"/>
  <c r="E52" i="16"/>
  <c r="E64" i="16"/>
  <c r="E73" i="16"/>
  <c r="E79" i="16"/>
  <c r="E86" i="16"/>
  <c r="E90" i="16"/>
  <c r="E93" i="16"/>
  <c r="E97" i="16"/>
  <c r="E104" i="16"/>
  <c r="E110" i="16"/>
  <c r="E114" i="16"/>
  <c r="E101" i="16" s="1"/>
  <c r="E122" i="16"/>
  <c r="E126" i="16"/>
  <c r="E132" i="16"/>
  <c r="E130" i="16" s="1"/>
  <c r="F31" i="16"/>
  <c r="F36" i="16"/>
  <c r="F42" i="16"/>
  <c r="F46" i="16"/>
  <c r="F52" i="16"/>
  <c r="F64" i="16"/>
  <c r="F73" i="16"/>
  <c r="F79" i="16"/>
  <c r="F86" i="16"/>
  <c r="F90" i="16"/>
  <c r="F93" i="16"/>
  <c r="F97" i="16"/>
  <c r="F104" i="16"/>
  <c r="F110" i="16"/>
  <c r="F114" i="16"/>
  <c r="F122" i="16"/>
  <c r="F126" i="16"/>
  <c r="J126" i="16" s="1"/>
  <c r="F132" i="16"/>
  <c r="F130" i="16" s="1"/>
  <c r="G31" i="16"/>
  <c r="G36" i="16"/>
  <c r="G42" i="16"/>
  <c r="G28" i="16" s="1"/>
  <c r="G46" i="16"/>
  <c r="G52" i="16"/>
  <c r="G64" i="16"/>
  <c r="G73" i="16"/>
  <c r="J73" i="16" s="1"/>
  <c r="K73" i="16" s="1"/>
  <c r="G79" i="16"/>
  <c r="G86" i="16"/>
  <c r="G90" i="16"/>
  <c r="G93" i="16"/>
  <c r="G97" i="16"/>
  <c r="G110" i="16"/>
  <c r="G101" i="16" s="1"/>
  <c r="G114" i="16"/>
  <c r="G122" i="16"/>
  <c r="G126" i="16"/>
  <c r="G119" i="16"/>
  <c r="H31" i="16"/>
  <c r="H36" i="16"/>
  <c r="H42" i="16"/>
  <c r="H28" i="16" s="1"/>
  <c r="H46" i="16"/>
  <c r="H52" i="16"/>
  <c r="H64" i="16"/>
  <c r="H73" i="16"/>
  <c r="H79" i="16"/>
  <c r="H86" i="16"/>
  <c r="H90" i="16"/>
  <c r="H93" i="16"/>
  <c r="H97" i="16"/>
  <c r="H104" i="16"/>
  <c r="H110" i="16"/>
  <c r="H114" i="16"/>
  <c r="H101" i="16" s="1"/>
  <c r="H122" i="16"/>
  <c r="H126" i="16"/>
  <c r="H132" i="16"/>
  <c r="H130" i="16" s="1"/>
  <c r="I31" i="16"/>
  <c r="I42" i="16"/>
  <c r="I46" i="16"/>
  <c r="I52" i="16"/>
  <c r="I64" i="16"/>
  <c r="I73" i="16"/>
  <c r="I79" i="16"/>
  <c r="I86" i="16"/>
  <c r="I90" i="16"/>
  <c r="I93" i="16"/>
  <c r="I122" i="16"/>
  <c r="I126" i="16"/>
  <c r="E184" i="16"/>
  <c r="E191" i="16"/>
  <c r="E197" i="16"/>
  <c r="E205" i="16"/>
  <c r="E210" i="16"/>
  <c r="E221" i="16"/>
  <c r="E202" i="16" s="1"/>
  <c r="E225" i="16"/>
  <c r="E238" i="16"/>
  <c r="E246" i="16"/>
  <c r="E244" i="16" s="1"/>
  <c r="J244" i="16" s="1"/>
  <c r="K244" i="16" s="1"/>
  <c r="E260" i="16"/>
  <c r="F184" i="16"/>
  <c r="J184" i="16" s="1"/>
  <c r="K184" i="16" s="1"/>
  <c r="F191" i="16"/>
  <c r="F197" i="16"/>
  <c r="F205" i="16"/>
  <c r="F210" i="16"/>
  <c r="F221" i="16"/>
  <c r="F225" i="16"/>
  <c r="F238" i="16"/>
  <c r="F246" i="16"/>
  <c r="F244" i="16" s="1"/>
  <c r="F260" i="16"/>
  <c r="F258" i="16" s="1"/>
  <c r="G184" i="16"/>
  <c r="G191" i="16"/>
  <c r="G197" i="16"/>
  <c r="G205" i="16"/>
  <c r="G210" i="16"/>
  <c r="G221" i="16"/>
  <c r="G225" i="16"/>
  <c r="G238" i="16"/>
  <c r="G246" i="16"/>
  <c r="G244" i="16"/>
  <c r="G260" i="16"/>
  <c r="G258" i="16" s="1"/>
  <c r="H184" i="16"/>
  <c r="H191" i="16"/>
  <c r="J191" i="16" s="1"/>
  <c r="K191" i="16" s="1"/>
  <c r="H197" i="16"/>
  <c r="H205" i="16"/>
  <c r="H210" i="16"/>
  <c r="H221" i="16"/>
  <c r="H225" i="16"/>
  <c r="H238" i="16"/>
  <c r="H246" i="16"/>
  <c r="H244" i="16"/>
  <c r="H260" i="16"/>
  <c r="H258" i="16" s="1"/>
  <c r="I205" i="16"/>
  <c r="I221" i="16"/>
  <c r="I238" i="16"/>
  <c r="I246" i="16"/>
  <c r="I244" i="16"/>
  <c r="I315" i="16"/>
  <c r="I320" i="16"/>
  <c r="I336" i="16"/>
  <c r="I343" i="16"/>
  <c r="I402" i="16"/>
  <c r="H306" i="16"/>
  <c r="H392" i="16"/>
  <c r="H402" i="16"/>
  <c r="G306" i="16"/>
  <c r="G402" i="16"/>
  <c r="F306" i="16"/>
  <c r="F392" i="16"/>
  <c r="F402" i="16"/>
  <c r="E306" i="16"/>
  <c r="E304" i="16" s="1"/>
  <c r="E392" i="16"/>
  <c r="E390" i="16"/>
  <c r="E402" i="16"/>
  <c r="K396" i="16"/>
  <c r="K341" i="16"/>
  <c r="K328" i="16"/>
  <c r="K316" i="16"/>
  <c r="K310" i="16"/>
  <c r="K308" i="16"/>
  <c r="I191" i="16"/>
  <c r="K269" i="16"/>
  <c r="K267" i="16"/>
  <c r="K265" i="16"/>
  <c r="K263" i="16"/>
  <c r="K239" i="16"/>
  <c r="I235" i="16"/>
  <c r="J235" i="16"/>
  <c r="J234" i="16"/>
  <c r="K234" i="16"/>
  <c r="F233" i="16"/>
  <c r="G233" i="16"/>
  <c r="K218" i="16"/>
  <c r="K212" i="16"/>
  <c r="K207" i="16"/>
  <c r="I197" i="16"/>
  <c r="K193" i="16"/>
  <c r="I150" i="16"/>
  <c r="K94" i="16"/>
  <c r="K81" i="16"/>
  <c r="K59" i="16"/>
  <c r="K55" i="16"/>
  <c r="K54" i="16"/>
  <c r="K49" i="16"/>
  <c r="K44" i="16"/>
  <c r="K39" i="16"/>
  <c r="K33" i="16"/>
  <c r="J32" i="7"/>
  <c r="K32" i="7" s="1"/>
  <c r="J33" i="7"/>
  <c r="J34" i="7"/>
  <c r="J37" i="7"/>
  <c r="K37" i="7" s="1"/>
  <c r="E167" i="7"/>
  <c r="F167" i="7"/>
  <c r="F165" i="7"/>
  <c r="G167" i="7"/>
  <c r="G165" i="7"/>
  <c r="H167" i="7"/>
  <c r="H165" i="7" s="1"/>
  <c r="J39" i="7"/>
  <c r="K39" i="7" s="1"/>
  <c r="J40" i="7"/>
  <c r="K40" i="7" s="1"/>
  <c r="J43" i="7"/>
  <c r="J44" i="7"/>
  <c r="J47" i="7"/>
  <c r="K47" i="7" s="1"/>
  <c r="J48" i="7"/>
  <c r="J49" i="7"/>
  <c r="K49" i="7" s="1"/>
  <c r="J50" i="7"/>
  <c r="J54" i="7"/>
  <c r="J55" i="7"/>
  <c r="K55" i="7" s="1"/>
  <c r="J56" i="7"/>
  <c r="J57" i="7"/>
  <c r="K57" i="7" s="1"/>
  <c r="J58" i="7"/>
  <c r="K58" i="7" s="1"/>
  <c r="J60" i="7"/>
  <c r="K60" i="7" s="1"/>
  <c r="J61" i="7"/>
  <c r="K61" i="7" s="1"/>
  <c r="J62" i="7"/>
  <c r="K62" i="7"/>
  <c r="J63" i="7"/>
  <c r="J66" i="7"/>
  <c r="J67" i="7"/>
  <c r="K67" i="7" s="1"/>
  <c r="J68" i="7"/>
  <c r="K68" i="7" s="1"/>
  <c r="J69" i="7"/>
  <c r="J70" i="7"/>
  <c r="K70" i="7" s="1"/>
  <c r="J71" i="7"/>
  <c r="K71" i="7" s="1"/>
  <c r="J72" i="7"/>
  <c r="K72" i="7" s="1"/>
  <c r="J76" i="7"/>
  <c r="K76" i="7" s="1"/>
  <c r="J82" i="7"/>
  <c r="K82" i="7" s="1"/>
  <c r="J83" i="7"/>
  <c r="K83" i="7" s="1"/>
  <c r="J84" i="7"/>
  <c r="K84" i="7"/>
  <c r="J85" i="7"/>
  <c r="K85" i="7" s="1"/>
  <c r="J89" i="7"/>
  <c r="K89" i="7" s="1"/>
  <c r="J90" i="7"/>
  <c r="K90" i="7"/>
  <c r="J93" i="7"/>
  <c r="K93" i="7"/>
  <c r="J96" i="7"/>
  <c r="J95" i="7" s="1"/>
  <c r="K95" i="7" s="1"/>
  <c r="J100" i="7"/>
  <c r="J101" i="7"/>
  <c r="J107" i="7"/>
  <c r="K107" i="7" s="1"/>
  <c r="J108" i="7"/>
  <c r="K108" i="7" s="1"/>
  <c r="J109" i="7"/>
  <c r="K109" i="7"/>
  <c r="J110" i="7"/>
  <c r="J113" i="7"/>
  <c r="J114" i="7"/>
  <c r="J117" i="7"/>
  <c r="J118" i="7"/>
  <c r="J119" i="7"/>
  <c r="J125" i="7"/>
  <c r="J126" i="7"/>
  <c r="J129" i="7"/>
  <c r="J130" i="7"/>
  <c r="K130" i="7" s="1"/>
  <c r="I137" i="7"/>
  <c r="J137" i="7" s="1"/>
  <c r="I138" i="7"/>
  <c r="J138" i="7"/>
  <c r="J139" i="7"/>
  <c r="E154" i="7"/>
  <c r="J154" i="7" s="1"/>
  <c r="K154" i="7"/>
  <c r="I154" i="7"/>
  <c r="J163" i="7"/>
  <c r="K163" i="7" s="1"/>
  <c r="I168" i="7"/>
  <c r="J168" i="7" s="1"/>
  <c r="I169" i="7"/>
  <c r="J169" i="7" s="1"/>
  <c r="I170" i="7"/>
  <c r="J170" i="7" s="1"/>
  <c r="I171" i="7"/>
  <c r="I167" i="7" s="1"/>
  <c r="E177" i="7"/>
  <c r="F177" i="7"/>
  <c r="I177" i="7"/>
  <c r="I175" i="7" s="1"/>
  <c r="H191" i="7"/>
  <c r="H162" i="7" s="1"/>
  <c r="J194" i="7"/>
  <c r="J195" i="7"/>
  <c r="J196" i="7"/>
  <c r="J197" i="7"/>
  <c r="J198" i="7"/>
  <c r="J201" i="7"/>
  <c r="J202" i="7"/>
  <c r="J203" i="7"/>
  <c r="K203" i="7" s="1"/>
  <c r="J204" i="7"/>
  <c r="K204" i="7" s="1"/>
  <c r="J205" i="7"/>
  <c r="K205" i="7" s="1"/>
  <c r="J208" i="7"/>
  <c r="K208" i="7" s="1"/>
  <c r="J209" i="7"/>
  <c r="J210" i="7"/>
  <c r="J216" i="7"/>
  <c r="K216" i="7"/>
  <c r="J217" i="7"/>
  <c r="J218" i="7"/>
  <c r="K218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I227" i="7"/>
  <c r="J228" i="7"/>
  <c r="K228" i="7" s="1"/>
  <c r="J229" i="7"/>
  <c r="K229" i="7"/>
  <c r="J233" i="7"/>
  <c r="K233" i="7" s="1"/>
  <c r="I237" i="7"/>
  <c r="J237" i="7"/>
  <c r="I239" i="7"/>
  <c r="J239" i="7"/>
  <c r="J241" i="7"/>
  <c r="I256" i="7"/>
  <c r="I254" i="7" s="1"/>
  <c r="I252" i="7" s="1"/>
  <c r="I251" i="7" s="1"/>
  <c r="J257" i="7"/>
  <c r="K257" i="7"/>
  <c r="J258" i="7"/>
  <c r="K258" i="7"/>
  <c r="J259" i="7"/>
  <c r="K259" i="7" s="1"/>
  <c r="J260" i="7"/>
  <c r="J261" i="7"/>
  <c r="K261" i="7" s="1"/>
  <c r="J262" i="7"/>
  <c r="J263" i="7"/>
  <c r="K263" i="7"/>
  <c r="J264" i="7"/>
  <c r="K264" i="7" s="1"/>
  <c r="J265" i="7"/>
  <c r="K265" i="7" s="1"/>
  <c r="J266" i="7"/>
  <c r="K266" i="7" s="1"/>
  <c r="I272" i="7"/>
  <c r="J273" i="7"/>
  <c r="J274" i="7"/>
  <c r="K274" i="7" s="1"/>
  <c r="J275" i="7"/>
  <c r="K275" i="7" s="1"/>
  <c r="J276" i="7"/>
  <c r="J277" i="7"/>
  <c r="K277" i="7" s="1"/>
  <c r="J278" i="7"/>
  <c r="K278" i="7" s="1"/>
  <c r="J279" i="7"/>
  <c r="K279" i="7" s="1"/>
  <c r="J280" i="7"/>
  <c r="I173" i="7"/>
  <c r="J173" i="7" s="1"/>
  <c r="J316" i="7"/>
  <c r="K316" i="7" s="1"/>
  <c r="J317" i="7"/>
  <c r="K317" i="7"/>
  <c r="J318" i="7"/>
  <c r="J319" i="7"/>
  <c r="K319" i="7" s="1"/>
  <c r="J320" i="7"/>
  <c r="I321" i="7"/>
  <c r="J322" i="7"/>
  <c r="J325" i="7"/>
  <c r="K325" i="7" s="1"/>
  <c r="J326" i="7"/>
  <c r="J327" i="7"/>
  <c r="J330" i="7"/>
  <c r="K330" i="7"/>
  <c r="J337" i="7"/>
  <c r="J338" i="7"/>
  <c r="J339" i="7"/>
  <c r="K339" i="7"/>
  <c r="J340" i="7"/>
  <c r="J341" i="7"/>
  <c r="K341" i="7" s="1"/>
  <c r="J342" i="7"/>
  <c r="J343" i="7"/>
  <c r="K343" i="7" s="1"/>
  <c r="J346" i="7"/>
  <c r="J347" i="7"/>
  <c r="K347" i="7" s="1"/>
  <c r="J348" i="7"/>
  <c r="K348" i="7"/>
  <c r="J349" i="7"/>
  <c r="J350" i="7"/>
  <c r="K350" i="7" s="1"/>
  <c r="J351" i="7"/>
  <c r="K351" i="7" s="1"/>
  <c r="J354" i="7"/>
  <c r="J355" i="7"/>
  <c r="K355" i="7" s="1"/>
  <c r="J356" i="7"/>
  <c r="K356" i="7" s="1"/>
  <c r="F376" i="7"/>
  <c r="G376" i="7"/>
  <c r="H376" i="7"/>
  <c r="J376" i="7" s="1"/>
  <c r="K376" i="7" s="1"/>
  <c r="J400" i="7"/>
  <c r="K400" i="7" s="1"/>
  <c r="J401" i="7"/>
  <c r="K401" i="7" s="1"/>
  <c r="J402" i="7"/>
  <c r="K402" i="7" s="1"/>
  <c r="J403" i="7"/>
  <c r="K403" i="7" s="1"/>
  <c r="E405" i="7"/>
  <c r="I405" i="7"/>
  <c r="J410" i="7"/>
  <c r="K410" i="7" s="1"/>
  <c r="J411" i="7"/>
  <c r="K411" i="7" s="1"/>
  <c r="J412" i="7"/>
  <c r="K412" i="7" s="1"/>
  <c r="J413" i="7"/>
  <c r="K413" i="7" s="1"/>
  <c r="J414" i="7"/>
  <c r="I136" i="7"/>
  <c r="I134" i="7" s="1"/>
  <c r="I132" i="7" s="1"/>
  <c r="E329" i="7"/>
  <c r="F329" i="7"/>
  <c r="G329" i="7"/>
  <c r="H329" i="7"/>
  <c r="F398" i="7"/>
  <c r="G398" i="7"/>
  <c r="G396" i="7" s="1"/>
  <c r="E408" i="7"/>
  <c r="J408" i="7" s="1"/>
  <c r="K408" i="7" s="1"/>
  <c r="F408" i="7"/>
  <c r="G408" i="7"/>
  <c r="H408" i="7"/>
  <c r="E31" i="7"/>
  <c r="E36" i="7"/>
  <c r="E28" i="7" s="1"/>
  <c r="E42" i="7"/>
  <c r="E46" i="7"/>
  <c r="E53" i="7"/>
  <c r="E65" i="7"/>
  <c r="E75" i="7"/>
  <c r="E81" i="7"/>
  <c r="J81" i="7" s="1"/>
  <c r="K81" i="7" s="1"/>
  <c r="E88" i="7"/>
  <c r="E92" i="7"/>
  <c r="E95" i="7"/>
  <c r="E99" i="7"/>
  <c r="E106" i="7"/>
  <c r="E112" i="7"/>
  <c r="J112" i="7" s="1"/>
  <c r="K112" i="7" s="1"/>
  <c r="E116" i="7"/>
  <c r="E124" i="7"/>
  <c r="E128" i="7"/>
  <c r="E134" i="7"/>
  <c r="E132" i="7" s="1"/>
  <c r="J132" i="7" s="1"/>
  <c r="K132" i="7" s="1"/>
  <c r="F31" i="7"/>
  <c r="F36" i="7"/>
  <c r="F42" i="7"/>
  <c r="F46" i="7"/>
  <c r="F53" i="7"/>
  <c r="F65" i="7"/>
  <c r="F75" i="7"/>
  <c r="F81" i="7"/>
  <c r="F88" i="7"/>
  <c r="F92" i="7"/>
  <c r="F95" i="7"/>
  <c r="F99" i="7"/>
  <c r="F106" i="7"/>
  <c r="F103" i="7" s="1"/>
  <c r="F112" i="7"/>
  <c r="F116" i="7"/>
  <c r="F124" i="7"/>
  <c r="F128" i="7"/>
  <c r="F134" i="7"/>
  <c r="F132" i="7" s="1"/>
  <c r="G31" i="7"/>
  <c r="G36" i="7"/>
  <c r="G42" i="7"/>
  <c r="G46" i="7"/>
  <c r="G53" i="7"/>
  <c r="G65" i="7"/>
  <c r="G75" i="7"/>
  <c r="G81" i="7"/>
  <c r="G88" i="7"/>
  <c r="G92" i="7"/>
  <c r="G95" i="7"/>
  <c r="G99" i="7"/>
  <c r="G106" i="7"/>
  <c r="J106" i="7" s="1"/>
  <c r="K106" i="7" s="1"/>
  <c r="G112" i="7"/>
  <c r="G116" i="7"/>
  <c r="G124" i="7"/>
  <c r="G128" i="7"/>
  <c r="G134" i="7"/>
  <c r="G132" i="7" s="1"/>
  <c r="H31" i="7"/>
  <c r="H36" i="7"/>
  <c r="H42" i="7"/>
  <c r="H46" i="7"/>
  <c r="H53" i="7"/>
  <c r="H65" i="7"/>
  <c r="H28" i="7"/>
  <c r="H75" i="7"/>
  <c r="H81" i="7"/>
  <c r="H88" i="7"/>
  <c r="H92" i="7"/>
  <c r="H95" i="7"/>
  <c r="H99" i="7"/>
  <c r="H106" i="7"/>
  <c r="H112" i="7"/>
  <c r="H116" i="7"/>
  <c r="H124" i="7"/>
  <c r="H128" i="7"/>
  <c r="H121" i="7" s="1"/>
  <c r="H134" i="7"/>
  <c r="H132" i="7" s="1"/>
  <c r="I42" i="7"/>
  <c r="I46" i="7"/>
  <c r="I53" i="7"/>
  <c r="I65" i="7"/>
  <c r="I75" i="7"/>
  <c r="I81" i="7"/>
  <c r="I78" i="7" s="1"/>
  <c r="I88" i="7"/>
  <c r="I92" i="7"/>
  <c r="I95" i="7"/>
  <c r="I99" i="7"/>
  <c r="I106" i="7"/>
  <c r="I112" i="7"/>
  <c r="I116" i="7"/>
  <c r="I103" i="7"/>
  <c r="I124" i="7"/>
  <c r="I128" i="7"/>
  <c r="I121" i="7" s="1"/>
  <c r="E175" i="7"/>
  <c r="E193" i="7"/>
  <c r="E200" i="7"/>
  <c r="E207" i="7"/>
  <c r="E215" i="7"/>
  <c r="E220" i="7"/>
  <c r="E231" i="7"/>
  <c r="E235" i="7"/>
  <c r="E248" i="7"/>
  <c r="E256" i="7"/>
  <c r="E254" i="7" s="1"/>
  <c r="E270" i="7"/>
  <c r="E268" i="7"/>
  <c r="F152" i="7"/>
  <c r="F193" i="7"/>
  <c r="F200" i="7"/>
  <c r="F207" i="7"/>
  <c r="F215" i="7"/>
  <c r="F220" i="7"/>
  <c r="F231" i="7"/>
  <c r="F235" i="7"/>
  <c r="F256" i="7"/>
  <c r="F254" i="7" s="1"/>
  <c r="F270" i="7"/>
  <c r="F268" i="7"/>
  <c r="G152" i="7"/>
  <c r="G175" i="7"/>
  <c r="G193" i="7"/>
  <c r="G200" i="7"/>
  <c r="G207" i="7"/>
  <c r="G215" i="7"/>
  <c r="G220" i="7"/>
  <c r="G231" i="7"/>
  <c r="G235" i="7"/>
  <c r="G248" i="7"/>
  <c r="G256" i="7"/>
  <c r="G254" i="7"/>
  <c r="G268" i="7"/>
  <c r="H152" i="7"/>
  <c r="H207" i="7"/>
  <c r="H215" i="7"/>
  <c r="H220" i="7"/>
  <c r="H231" i="7"/>
  <c r="H235" i="7"/>
  <c r="H248" i="7"/>
  <c r="H256" i="7"/>
  <c r="H270" i="7"/>
  <c r="H268" i="7" s="1"/>
  <c r="I215" i="7"/>
  <c r="I231" i="7"/>
  <c r="I245" i="7"/>
  <c r="J245" i="7" s="1"/>
  <c r="I324" i="7"/>
  <c r="I329" i="7"/>
  <c r="I336" i="7"/>
  <c r="I345" i="7"/>
  <c r="I353" i="7"/>
  <c r="I408" i="7"/>
  <c r="H315" i="7"/>
  <c r="H353" i="7"/>
  <c r="H334" i="7" s="1"/>
  <c r="G315" i="7"/>
  <c r="G313" i="7" s="1"/>
  <c r="G359" i="7" s="1"/>
  <c r="G324" i="7"/>
  <c r="G334" i="7"/>
  <c r="F315" i="7"/>
  <c r="F313" i="7" s="1"/>
  <c r="F324" i="7"/>
  <c r="F336" i="7"/>
  <c r="F345" i="7"/>
  <c r="F353" i="7"/>
  <c r="E315" i="7"/>
  <c r="E324" i="7"/>
  <c r="E336" i="7"/>
  <c r="E345" i="7"/>
  <c r="E353" i="7"/>
  <c r="K414" i="7"/>
  <c r="K354" i="7"/>
  <c r="K349" i="7"/>
  <c r="K342" i="7"/>
  <c r="K340" i="7"/>
  <c r="K337" i="7"/>
  <c r="K326" i="7"/>
  <c r="I193" i="7"/>
  <c r="I200" i="7"/>
  <c r="K280" i="7"/>
  <c r="K276" i="7"/>
  <c r="K273" i="7"/>
  <c r="K262" i="7"/>
  <c r="K260" i="7"/>
  <c r="K217" i="7"/>
  <c r="K209" i="7"/>
  <c r="I207" i="7"/>
  <c r="K202" i="7"/>
  <c r="K198" i="7"/>
  <c r="K197" i="7"/>
  <c r="K196" i="7"/>
  <c r="K195" i="7"/>
  <c r="K194" i="7"/>
  <c r="I152" i="7"/>
  <c r="K139" i="7"/>
  <c r="K129" i="7"/>
  <c r="K125" i="7"/>
  <c r="K110" i="7"/>
  <c r="K101" i="7"/>
  <c r="K69" i="7"/>
  <c r="K63" i="7"/>
  <c r="K54" i="7"/>
  <c r="K48" i="7"/>
  <c r="J32" i="18"/>
  <c r="J33" i="18"/>
  <c r="J34" i="18"/>
  <c r="J37" i="18"/>
  <c r="I164" i="18"/>
  <c r="I162" i="18"/>
  <c r="J39" i="18"/>
  <c r="J40" i="18"/>
  <c r="J43" i="18"/>
  <c r="J44" i="18"/>
  <c r="J47" i="18"/>
  <c r="J48" i="18"/>
  <c r="J49" i="18"/>
  <c r="J50" i="18"/>
  <c r="J53" i="18"/>
  <c r="J54" i="18"/>
  <c r="J55" i="18"/>
  <c r="J56" i="18"/>
  <c r="J57" i="18"/>
  <c r="J58" i="18"/>
  <c r="J59" i="18"/>
  <c r="K59" i="18" s="1"/>
  <c r="J60" i="18"/>
  <c r="J61" i="18"/>
  <c r="J64" i="18"/>
  <c r="J65" i="18"/>
  <c r="J66" i="18"/>
  <c r="J67" i="18"/>
  <c r="J68" i="18"/>
  <c r="J69" i="18"/>
  <c r="J70" i="18"/>
  <c r="J74" i="18"/>
  <c r="J80" i="18"/>
  <c r="J81" i="18"/>
  <c r="J82" i="18"/>
  <c r="J83" i="18"/>
  <c r="J87" i="18"/>
  <c r="J88" i="18"/>
  <c r="J91" i="18"/>
  <c r="J94" i="18"/>
  <c r="J98" i="18"/>
  <c r="J99" i="18"/>
  <c r="J105" i="18"/>
  <c r="J106" i="18"/>
  <c r="J107" i="18"/>
  <c r="J108" i="18"/>
  <c r="J111" i="18"/>
  <c r="J112" i="18"/>
  <c r="J115" i="18"/>
  <c r="J116" i="18"/>
  <c r="J117" i="18"/>
  <c r="J123" i="18"/>
  <c r="J124" i="18"/>
  <c r="J127" i="18"/>
  <c r="J128" i="18"/>
  <c r="J134" i="18"/>
  <c r="J135" i="18"/>
  <c r="J136" i="18"/>
  <c r="J137" i="18"/>
  <c r="E396" i="18"/>
  <c r="G396" i="18"/>
  <c r="H396" i="18"/>
  <c r="H394" i="18" s="1"/>
  <c r="I403" i="18"/>
  <c r="E376" i="18"/>
  <c r="G376" i="18"/>
  <c r="H376" i="18"/>
  <c r="H374" i="18" s="1"/>
  <c r="I376" i="18"/>
  <c r="J322" i="18"/>
  <c r="J321" i="18"/>
  <c r="J320" i="18"/>
  <c r="E340" i="18"/>
  <c r="J340" i="18"/>
  <c r="I340" i="18"/>
  <c r="E331" i="18"/>
  <c r="I331" i="18"/>
  <c r="E319" i="18"/>
  <c r="G319" i="18"/>
  <c r="I319" i="18"/>
  <c r="E309" i="18"/>
  <c r="J309" i="18" s="1"/>
  <c r="G309" i="18"/>
  <c r="H309" i="18"/>
  <c r="I317" i="18"/>
  <c r="I309" i="18" s="1"/>
  <c r="J412" i="18"/>
  <c r="J411" i="18"/>
  <c r="J410" i="18"/>
  <c r="J409" i="18"/>
  <c r="J408" i="18"/>
  <c r="J404" i="18"/>
  <c r="J401" i="18"/>
  <c r="J400" i="18"/>
  <c r="J399" i="18"/>
  <c r="J398" i="18"/>
  <c r="J354" i="18"/>
  <c r="J351" i="18"/>
  <c r="J350" i="18"/>
  <c r="J349" i="18"/>
  <c r="J346" i="18"/>
  <c r="J345" i="18"/>
  <c r="J344" i="18"/>
  <c r="J343" i="18"/>
  <c r="J342" i="18"/>
  <c r="J341" i="18"/>
  <c r="J338" i="18"/>
  <c r="J337" i="18"/>
  <c r="J336" i="18"/>
  <c r="J335" i="18"/>
  <c r="J334" i="18"/>
  <c r="J333" i="18"/>
  <c r="J332" i="18"/>
  <c r="J325" i="18"/>
  <c r="J315" i="18"/>
  <c r="J316" i="18"/>
  <c r="J274" i="18"/>
  <c r="J273" i="18"/>
  <c r="J272" i="18"/>
  <c r="J271" i="18"/>
  <c r="J270" i="18"/>
  <c r="J269" i="18"/>
  <c r="J268" i="18"/>
  <c r="J267" i="18"/>
  <c r="J266" i="18"/>
  <c r="J260" i="18"/>
  <c r="J259" i="18"/>
  <c r="J258" i="18"/>
  <c r="J257" i="18"/>
  <c r="J256" i="18"/>
  <c r="J255" i="18"/>
  <c r="K255" i="18" s="1"/>
  <c r="J254" i="18"/>
  <c r="J253" i="18"/>
  <c r="J252" i="18"/>
  <c r="J251" i="18"/>
  <c r="J246" i="18"/>
  <c r="J245" i="18"/>
  <c r="J244" i="18"/>
  <c r="J243" i="18"/>
  <c r="J239" i="18"/>
  <c r="J184" i="18"/>
  <c r="J169" i="18"/>
  <c r="J160" i="18"/>
  <c r="J235" i="18"/>
  <c r="J233" i="18"/>
  <c r="J231" i="18"/>
  <c r="J227" i="18"/>
  <c r="J223" i="18"/>
  <c r="J222" i="18"/>
  <c r="J221" i="18"/>
  <c r="J220" i="18"/>
  <c r="J219" i="18"/>
  <c r="J218" i="18"/>
  <c r="J217" i="18"/>
  <c r="J216" i="18"/>
  <c r="J215" i="18"/>
  <c r="J212" i="18"/>
  <c r="J211" i="18"/>
  <c r="J210" i="18"/>
  <c r="J204" i="18"/>
  <c r="J203" i="18"/>
  <c r="J202" i="18"/>
  <c r="J201" i="18"/>
  <c r="J198" i="18"/>
  <c r="J197" i="18"/>
  <c r="J196" i="18"/>
  <c r="J195" i="18"/>
  <c r="J194" i="18"/>
  <c r="J191" i="18"/>
  <c r="J190" i="18"/>
  <c r="J189" i="18"/>
  <c r="J188" i="18"/>
  <c r="J187" i="18"/>
  <c r="E173" i="18"/>
  <c r="F173" i="18"/>
  <c r="F171" i="18"/>
  <c r="I173" i="18"/>
  <c r="I171" i="18"/>
  <c r="J168" i="18"/>
  <c r="J167" i="18"/>
  <c r="J166" i="18"/>
  <c r="J165" i="18"/>
  <c r="E152" i="18"/>
  <c r="J152" i="18"/>
  <c r="I132" i="18"/>
  <c r="I130" i="18" s="1"/>
  <c r="J310" i="18"/>
  <c r="J312" i="18"/>
  <c r="J313" i="18"/>
  <c r="J314" i="18"/>
  <c r="J141" i="18"/>
  <c r="E353" i="18"/>
  <c r="F353" i="18"/>
  <c r="G353" i="18"/>
  <c r="G329" i="18"/>
  <c r="H353" i="18"/>
  <c r="I353" i="18"/>
  <c r="E348" i="18"/>
  <c r="F348" i="18"/>
  <c r="H348" i="18"/>
  <c r="H329" i="18"/>
  <c r="I348" i="18"/>
  <c r="E324" i="18"/>
  <c r="F324" i="18"/>
  <c r="G324" i="18"/>
  <c r="H324" i="18"/>
  <c r="H307" i="18" s="1"/>
  <c r="I324" i="18"/>
  <c r="J311" i="18"/>
  <c r="H186" i="18"/>
  <c r="G150" i="18"/>
  <c r="G164" i="18"/>
  <c r="G162" i="18"/>
  <c r="G171" i="18"/>
  <c r="G186" i="18"/>
  <c r="G193" i="18"/>
  <c r="G200" i="18"/>
  <c r="G209" i="18"/>
  <c r="G214" i="18"/>
  <c r="G225" i="18"/>
  <c r="G229" i="18"/>
  <c r="G242" i="18"/>
  <c r="G250" i="18"/>
  <c r="G262" i="18"/>
  <c r="E264" i="18"/>
  <c r="E262" i="18" s="1"/>
  <c r="F264" i="18"/>
  <c r="H264" i="18"/>
  <c r="H262" i="18" s="1"/>
  <c r="I264" i="18"/>
  <c r="I262" i="18" s="1"/>
  <c r="I250" i="18"/>
  <c r="I248" i="18"/>
  <c r="E132" i="18"/>
  <c r="E130" i="18"/>
  <c r="I242" i="18"/>
  <c r="I229" i="18"/>
  <c r="E214" i="18"/>
  <c r="F214" i="18"/>
  <c r="F206" i="18" s="1"/>
  <c r="F144" i="18" s="1"/>
  <c r="H214" i="18"/>
  <c r="I214" i="18"/>
  <c r="I186" i="18"/>
  <c r="I150" i="18"/>
  <c r="I209" i="18"/>
  <c r="I225" i="18"/>
  <c r="F150" i="18"/>
  <c r="H150" i="18"/>
  <c r="E164" i="18"/>
  <c r="E162" i="18" s="1"/>
  <c r="E186" i="18"/>
  <c r="E193" i="18"/>
  <c r="E200" i="18"/>
  <c r="F164" i="18"/>
  <c r="F162" i="18" s="1"/>
  <c r="F186" i="18"/>
  <c r="F193" i="18"/>
  <c r="F200" i="18"/>
  <c r="H164" i="18"/>
  <c r="H162" i="18" s="1"/>
  <c r="H171" i="18"/>
  <c r="H200" i="18"/>
  <c r="I42" i="18"/>
  <c r="E385" i="18"/>
  <c r="E374" i="18" s="1"/>
  <c r="F385" i="18"/>
  <c r="F374" i="18" s="1"/>
  <c r="G385" i="18"/>
  <c r="G374" i="18" s="1"/>
  <c r="J374" i="18" s="1"/>
  <c r="K374" i="18" s="1"/>
  <c r="H385" i="18"/>
  <c r="I385" i="18"/>
  <c r="I200" i="18"/>
  <c r="H406" i="18"/>
  <c r="H31" i="18"/>
  <c r="H36" i="18"/>
  <c r="H42" i="18"/>
  <c r="H46" i="18"/>
  <c r="H52" i="18"/>
  <c r="H63" i="18"/>
  <c r="H73" i="18"/>
  <c r="H79" i="18"/>
  <c r="H86" i="18"/>
  <c r="H90" i="18"/>
  <c r="H93" i="18"/>
  <c r="H97" i="18"/>
  <c r="H104" i="18"/>
  <c r="H110" i="18"/>
  <c r="H114" i="18"/>
  <c r="H101" i="18"/>
  <c r="H122" i="18"/>
  <c r="H126" i="18"/>
  <c r="H119" i="18" s="1"/>
  <c r="H132" i="18"/>
  <c r="H130" i="18" s="1"/>
  <c r="H209" i="18"/>
  <c r="H225" i="18"/>
  <c r="H229" i="18"/>
  <c r="H242" i="18"/>
  <c r="H250" i="18"/>
  <c r="H248" i="18" s="1"/>
  <c r="E31" i="18"/>
  <c r="E36" i="18"/>
  <c r="E42" i="18"/>
  <c r="E46" i="18"/>
  <c r="E52" i="18"/>
  <c r="E63" i="18"/>
  <c r="E73" i="18"/>
  <c r="E79" i="18"/>
  <c r="E86" i="18"/>
  <c r="E90" i="18"/>
  <c r="J90" i="18" s="1"/>
  <c r="E93" i="18"/>
  <c r="E97" i="18"/>
  <c r="E104" i="18"/>
  <c r="E110" i="18"/>
  <c r="E114" i="18"/>
  <c r="E122" i="18"/>
  <c r="E126" i="18"/>
  <c r="E209" i="18"/>
  <c r="E225" i="18"/>
  <c r="E229" i="18"/>
  <c r="E242" i="18"/>
  <c r="J242" i="18" s="1"/>
  <c r="E250" i="18"/>
  <c r="E248" i="18"/>
  <c r="E406" i="18"/>
  <c r="F31" i="18"/>
  <c r="F46" i="18"/>
  <c r="F52" i="18"/>
  <c r="F73" i="18"/>
  <c r="F36" i="18"/>
  <c r="F42" i="18"/>
  <c r="F63" i="18"/>
  <c r="F79" i="18"/>
  <c r="F86" i="18"/>
  <c r="F90" i="18"/>
  <c r="F93" i="18"/>
  <c r="F97" i="18"/>
  <c r="F104" i="18"/>
  <c r="J104" i="18" s="1"/>
  <c r="F114" i="18"/>
  <c r="F110" i="18"/>
  <c r="F126" i="18"/>
  <c r="F122" i="18"/>
  <c r="F119" i="18" s="1"/>
  <c r="F132" i="18"/>
  <c r="F130" i="18"/>
  <c r="F406" i="18"/>
  <c r="F394" i="18" s="1"/>
  <c r="G406" i="18"/>
  <c r="G31" i="18"/>
  <c r="G36" i="18"/>
  <c r="G42" i="18"/>
  <c r="G46" i="18"/>
  <c r="G52" i="18"/>
  <c r="G63" i="18"/>
  <c r="G73" i="18"/>
  <c r="G79" i="18"/>
  <c r="G86" i="18"/>
  <c r="J86" i="18" s="1"/>
  <c r="K86" i="18" s="1"/>
  <c r="G90" i="18"/>
  <c r="G93" i="18"/>
  <c r="G97" i="18"/>
  <c r="G104" i="18"/>
  <c r="G110" i="18"/>
  <c r="G114" i="18"/>
  <c r="J114" i="18" s="1"/>
  <c r="G122" i="18"/>
  <c r="G119" i="18"/>
  <c r="G126" i="18"/>
  <c r="G132" i="18"/>
  <c r="G130" i="18" s="1"/>
  <c r="I46" i="18"/>
  <c r="I52" i="18"/>
  <c r="I63" i="18"/>
  <c r="I73" i="18"/>
  <c r="I79" i="18"/>
  <c r="I86" i="18"/>
  <c r="I90" i="18"/>
  <c r="I93" i="18"/>
  <c r="I97" i="18"/>
  <c r="I104" i="18"/>
  <c r="I110" i="18"/>
  <c r="I114" i="18"/>
  <c r="I122" i="18"/>
  <c r="I126" i="18"/>
  <c r="F209" i="18"/>
  <c r="F225" i="18"/>
  <c r="F229" i="18"/>
  <c r="F250" i="18"/>
  <c r="F248" i="18" s="1"/>
  <c r="F262" i="18"/>
  <c r="I406" i="18"/>
  <c r="I193" i="18"/>
  <c r="J34" i="26"/>
  <c r="J56" i="26"/>
  <c r="J58" i="26"/>
  <c r="J469" i="26"/>
  <c r="J470" i="26"/>
  <c r="J471" i="26"/>
  <c r="J472" i="26"/>
  <c r="E400" i="26"/>
  <c r="I400" i="26"/>
  <c r="E408" i="26"/>
  <c r="H408" i="26"/>
  <c r="H389" i="26" s="1"/>
  <c r="I408" i="26"/>
  <c r="J414" i="26"/>
  <c r="E379" i="26"/>
  <c r="G379" i="26"/>
  <c r="I379" i="26"/>
  <c r="J385" i="26"/>
  <c r="J257" i="26"/>
  <c r="J241" i="26"/>
  <c r="J242" i="26"/>
  <c r="K242" i="26" s="1"/>
  <c r="J243" i="26"/>
  <c r="J244" i="26"/>
  <c r="I210" i="26"/>
  <c r="J210" i="26" s="1"/>
  <c r="I211" i="26"/>
  <c r="J211" i="26"/>
  <c r="I212" i="26"/>
  <c r="J212" i="26"/>
  <c r="I209" i="26"/>
  <c r="J209" i="26" s="1"/>
  <c r="J111" i="26"/>
  <c r="J110" i="26"/>
  <c r="I143" i="26"/>
  <c r="J143" i="26"/>
  <c r="I144" i="26"/>
  <c r="J144" i="26" s="1"/>
  <c r="J145" i="26"/>
  <c r="J156" i="26"/>
  <c r="J157" i="26"/>
  <c r="J170" i="26"/>
  <c r="J174" i="26"/>
  <c r="J464" i="26"/>
  <c r="E463" i="26"/>
  <c r="I463" i="26"/>
  <c r="J461" i="26"/>
  <c r="J460" i="26"/>
  <c r="J459" i="26"/>
  <c r="J458" i="26"/>
  <c r="J411" i="26"/>
  <c r="J410" i="26"/>
  <c r="J409" i="26"/>
  <c r="J406" i="26"/>
  <c r="J405" i="26"/>
  <c r="J404" i="26"/>
  <c r="J403" i="26"/>
  <c r="J402" i="26"/>
  <c r="J401" i="26"/>
  <c r="J398" i="26"/>
  <c r="J397" i="26"/>
  <c r="J396" i="26"/>
  <c r="J395" i="26"/>
  <c r="J394" i="26"/>
  <c r="J393" i="26"/>
  <c r="J392" i="26"/>
  <c r="J382" i="26"/>
  <c r="J381" i="26"/>
  <c r="J380" i="26"/>
  <c r="J375" i="26"/>
  <c r="J376" i="26"/>
  <c r="J313" i="26"/>
  <c r="E131" i="26"/>
  <c r="H230" i="26"/>
  <c r="J230" i="26"/>
  <c r="I214" i="26"/>
  <c r="J214" i="26" s="1"/>
  <c r="J250" i="26"/>
  <c r="J249" i="26"/>
  <c r="J237" i="26"/>
  <c r="J236" i="26"/>
  <c r="J235" i="26"/>
  <c r="J234" i="26"/>
  <c r="J233" i="26"/>
  <c r="J127" i="26"/>
  <c r="J126" i="26"/>
  <c r="J116" i="26"/>
  <c r="J115" i="26"/>
  <c r="J114" i="26"/>
  <c r="J107" i="26"/>
  <c r="J106" i="26"/>
  <c r="J105" i="26"/>
  <c r="J104" i="26"/>
  <c r="J70" i="26"/>
  <c r="J69" i="26"/>
  <c r="J68" i="26"/>
  <c r="J67" i="26"/>
  <c r="J66" i="26"/>
  <c r="J149" i="26"/>
  <c r="J155" i="26"/>
  <c r="J159" i="26"/>
  <c r="J165" i="26"/>
  <c r="J169" i="26"/>
  <c r="J173" i="26"/>
  <c r="J176" i="26"/>
  <c r="J179" i="26"/>
  <c r="E456" i="26"/>
  <c r="G456" i="26"/>
  <c r="H456" i="26"/>
  <c r="J468" i="26"/>
  <c r="G436" i="26"/>
  <c r="H436" i="26"/>
  <c r="I436" i="26"/>
  <c r="E391" i="26"/>
  <c r="I391" i="26"/>
  <c r="J391" i="26" s="1"/>
  <c r="K391" i="26" s="1"/>
  <c r="E369" i="26"/>
  <c r="G369" i="26"/>
  <c r="H369" i="26"/>
  <c r="H367" i="26" s="1"/>
  <c r="H417" i="26" s="1"/>
  <c r="I377" i="26"/>
  <c r="J294" i="26"/>
  <c r="J295" i="26"/>
  <c r="J296" i="26"/>
  <c r="J297" i="26"/>
  <c r="J298" i="26"/>
  <c r="J299" i="26"/>
  <c r="J300" i="26"/>
  <c r="J301" i="26"/>
  <c r="J302" i="26"/>
  <c r="J303" i="26"/>
  <c r="J286" i="26"/>
  <c r="J287" i="26"/>
  <c r="J288" i="26"/>
  <c r="J289" i="26"/>
  <c r="H204" i="26"/>
  <c r="J268" i="26"/>
  <c r="J266" i="26"/>
  <c r="J265" i="26"/>
  <c r="J264" i="26"/>
  <c r="J263" i="26"/>
  <c r="J256" i="26"/>
  <c r="J258" i="26"/>
  <c r="E246" i="26"/>
  <c r="G246" i="26"/>
  <c r="H246" i="26"/>
  <c r="I246" i="26"/>
  <c r="J240" i="26"/>
  <c r="E232" i="26"/>
  <c r="F232" i="26"/>
  <c r="G232" i="26"/>
  <c r="I232" i="26"/>
  <c r="E218" i="26"/>
  <c r="F218" i="26"/>
  <c r="I218" i="26"/>
  <c r="I216" i="26"/>
  <c r="E195" i="26"/>
  <c r="J195" i="26"/>
  <c r="G121" i="26"/>
  <c r="H121" i="26"/>
  <c r="I121" i="26"/>
  <c r="E125" i="26"/>
  <c r="F125" i="26"/>
  <c r="F118" i="26"/>
  <c r="G125" i="26"/>
  <c r="H125" i="26"/>
  <c r="H118" i="26" s="1"/>
  <c r="E103" i="26"/>
  <c r="F103" i="26"/>
  <c r="F100" i="26" s="1"/>
  <c r="E113" i="26"/>
  <c r="G113" i="26"/>
  <c r="H113" i="26"/>
  <c r="H100" i="26" s="1"/>
  <c r="J79" i="26"/>
  <c r="J80" i="26"/>
  <c r="J81" i="26"/>
  <c r="J82" i="26"/>
  <c r="J86" i="26"/>
  <c r="J87" i="26"/>
  <c r="J90" i="26"/>
  <c r="J93" i="26"/>
  <c r="J97" i="26"/>
  <c r="J98" i="26"/>
  <c r="J64" i="26"/>
  <c r="J63" i="26" s="1"/>
  <c r="K63" i="26" s="1"/>
  <c r="J65" i="26"/>
  <c r="J55" i="26"/>
  <c r="J53" i="26"/>
  <c r="J54" i="26"/>
  <c r="J57" i="26"/>
  <c r="J59" i="26"/>
  <c r="J60" i="26"/>
  <c r="J61" i="26"/>
  <c r="J47" i="26"/>
  <c r="J48" i="26"/>
  <c r="J49" i="26"/>
  <c r="J50" i="26"/>
  <c r="J43" i="26"/>
  <c r="J44" i="26"/>
  <c r="J37" i="26"/>
  <c r="J39" i="26"/>
  <c r="J40" i="26"/>
  <c r="J33" i="26"/>
  <c r="J32" i="26"/>
  <c r="J73" i="26"/>
  <c r="J247" i="26"/>
  <c r="J248" i="26"/>
  <c r="J281" i="26"/>
  <c r="J310" i="26"/>
  <c r="J311" i="26"/>
  <c r="J312" i="26"/>
  <c r="J314" i="26"/>
  <c r="J315" i="26"/>
  <c r="J316" i="26"/>
  <c r="J317" i="26"/>
  <c r="J273" i="26"/>
  <c r="F133" i="26"/>
  <c r="G133" i="26"/>
  <c r="H133" i="26"/>
  <c r="J269" i="26"/>
  <c r="J267" i="26"/>
  <c r="K267" i="26" s="1"/>
  <c r="J262" i="26"/>
  <c r="I261" i="26"/>
  <c r="J261" i="26"/>
  <c r="I280" i="26"/>
  <c r="J280" i="26" s="1"/>
  <c r="I277" i="26"/>
  <c r="I309" i="26"/>
  <c r="J309" i="26" s="1"/>
  <c r="I271" i="26"/>
  <c r="J334" i="26"/>
  <c r="J331" i="26"/>
  <c r="J328" i="26"/>
  <c r="E322" i="26"/>
  <c r="F322" i="26"/>
  <c r="G322" i="26"/>
  <c r="H322" i="26"/>
  <c r="J322" i="26" s="1"/>
  <c r="I322" i="26"/>
  <c r="J323" i="26"/>
  <c r="J324" i="26"/>
  <c r="J325" i="26"/>
  <c r="J162" i="26"/>
  <c r="J161" i="26"/>
  <c r="J160" i="26"/>
  <c r="H216" i="26"/>
  <c r="H208" i="26"/>
  <c r="H206" i="26" s="1"/>
  <c r="H255" i="26"/>
  <c r="H260" i="26"/>
  <c r="H271" i="26"/>
  <c r="H275" i="26"/>
  <c r="H285" i="26"/>
  <c r="H293" i="26"/>
  <c r="H291" i="26" s="1"/>
  <c r="H307" i="26"/>
  <c r="H305" i="26" s="1"/>
  <c r="H327" i="26"/>
  <c r="H330" i="26"/>
  <c r="H333" i="26"/>
  <c r="G31" i="26"/>
  <c r="G36" i="26"/>
  <c r="G42" i="26"/>
  <c r="G46" i="26"/>
  <c r="G52" i="26"/>
  <c r="G63" i="26"/>
  <c r="G72" i="26"/>
  <c r="G78" i="26"/>
  <c r="G85" i="26"/>
  <c r="G89" i="26"/>
  <c r="G75" i="26" s="1"/>
  <c r="G92" i="26"/>
  <c r="G96" i="26"/>
  <c r="G109" i="26"/>
  <c r="G193" i="26"/>
  <c r="G208" i="26"/>
  <c r="G206" i="26"/>
  <c r="J206" i="26" s="1"/>
  <c r="G216" i="26"/>
  <c r="G239" i="26"/>
  <c r="G255" i="26"/>
  <c r="G260" i="26"/>
  <c r="G271" i="26"/>
  <c r="G275" i="26"/>
  <c r="G252" i="26" s="1"/>
  <c r="G285" i="26"/>
  <c r="G293" i="26"/>
  <c r="G291" i="26" s="1"/>
  <c r="G305" i="26"/>
  <c r="G327" i="26"/>
  <c r="G330" i="26"/>
  <c r="G333" i="26"/>
  <c r="G321" i="26" s="1"/>
  <c r="E109" i="26"/>
  <c r="H109" i="26"/>
  <c r="E413" i="26"/>
  <c r="F413" i="26"/>
  <c r="F389" i="26" s="1"/>
  <c r="G413" i="26"/>
  <c r="G389" i="26"/>
  <c r="H413" i="26"/>
  <c r="I413" i="26"/>
  <c r="E193" i="26"/>
  <c r="E208" i="26"/>
  <c r="E206" i="26" s="1"/>
  <c r="E239" i="26"/>
  <c r="F193" i="26"/>
  <c r="J193" i="26" s="1"/>
  <c r="F208" i="26"/>
  <c r="F206" i="26" s="1"/>
  <c r="F216" i="26"/>
  <c r="F239" i="26"/>
  <c r="I255" i="26"/>
  <c r="I285" i="26"/>
  <c r="E255" i="26"/>
  <c r="E260" i="26"/>
  <c r="E271" i="26"/>
  <c r="E275" i="26"/>
  <c r="E285" i="26"/>
  <c r="F255" i="26"/>
  <c r="F260" i="26"/>
  <c r="F271" i="26"/>
  <c r="J271" i="26" s="1"/>
  <c r="F275" i="26"/>
  <c r="E293" i="26"/>
  <c r="E291" i="26"/>
  <c r="F293" i="26"/>
  <c r="F291" i="26" s="1"/>
  <c r="I293" i="26"/>
  <c r="I307" i="26"/>
  <c r="E307" i="26"/>
  <c r="E305" i="26" s="1"/>
  <c r="F307" i="26"/>
  <c r="F305" i="26" s="1"/>
  <c r="J42" i="26"/>
  <c r="E72" i="26"/>
  <c r="F72" i="26"/>
  <c r="H72" i="26"/>
  <c r="H78" i="26"/>
  <c r="E78" i="26"/>
  <c r="F78" i="26"/>
  <c r="J92" i="26"/>
  <c r="H89" i="26"/>
  <c r="E89" i="26"/>
  <c r="F89" i="26"/>
  <c r="E85" i="26"/>
  <c r="F85" i="26"/>
  <c r="H85" i="26"/>
  <c r="I42" i="26"/>
  <c r="I46" i="26"/>
  <c r="I52" i="26"/>
  <c r="I63" i="26"/>
  <c r="I72" i="26"/>
  <c r="I78" i="26"/>
  <c r="I85" i="26"/>
  <c r="I89" i="26"/>
  <c r="I92" i="26"/>
  <c r="I96" i="26"/>
  <c r="I103" i="26"/>
  <c r="I109" i="26"/>
  <c r="I113" i="26"/>
  <c r="I125" i="26"/>
  <c r="H36" i="26"/>
  <c r="H31" i="26"/>
  <c r="H42" i="26"/>
  <c r="H46" i="26"/>
  <c r="H52" i="26"/>
  <c r="H28" i="26" s="1"/>
  <c r="H63" i="26"/>
  <c r="H92" i="26"/>
  <c r="H96" i="26"/>
  <c r="H131" i="26"/>
  <c r="H129" i="26" s="1"/>
  <c r="E31" i="26"/>
  <c r="E36" i="26"/>
  <c r="E42" i="26"/>
  <c r="E46" i="26"/>
  <c r="E52" i="26"/>
  <c r="E63" i="26"/>
  <c r="E92" i="26"/>
  <c r="E75" i="26"/>
  <c r="E96" i="26"/>
  <c r="E154" i="26"/>
  <c r="J154" i="26" s="1"/>
  <c r="E168" i="26"/>
  <c r="J168" i="26" s="1"/>
  <c r="E172" i="26"/>
  <c r="J172" i="26" s="1"/>
  <c r="K172" i="26" s="1"/>
  <c r="F31" i="26"/>
  <c r="F36" i="26"/>
  <c r="F42" i="26"/>
  <c r="F46" i="26"/>
  <c r="F52" i="26"/>
  <c r="F63" i="26"/>
  <c r="F92" i="26"/>
  <c r="F96" i="26"/>
  <c r="F131" i="26"/>
  <c r="F129" i="26" s="1"/>
  <c r="F384" i="26"/>
  <c r="E384" i="26"/>
  <c r="G384" i="26"/>
  <c r="H384" i="26"/>
  <c r="F327" i="26"/>
  <c r="F330" i="26"/>
  <c r="F333" i="26"/>
  <c r="E327" i="26"/>
  <c r="E330" i="26"/>
  <c r="E333" i="26"/>
  <c r="I327" i="26"/>
  <c r="I330" i="26"/>
  <c r="I333" i="26"/>
  <c r="J184" i="26"/>
  <c r="J370" i="26"/>
  <c r="K370" i="26" s="1"/>
  <c r="J371" i="26"/>
  <c r="J372" i="26"/>
  <c r="K372" i="26" s="1"/>
  <c r="J373" i="26"/>
  <c r="J374" i="26"/>
  <c r="E445" i="26"/>
  <c r="E434" i="26"/>
  <c r="F445" i="26"/>
  <c r="F434" i="26"/>
  <c r="G445" i="26"/>
  <c r="H445" i="26"/>
  <c r="E466" i="26"/>
  <c r="F466" i="26"/>
  <c r="G466" i="26"/>
  <c r="G454" i="26" s="1"/>
  <c r="H466" i="26"/>
  <c r="H454" i="26" s="1"/>
  <c r="I384" i="26"/>
  <c r="I466" i="26"/>
  <c r="F367" i="26"/>
  <c r="F454" i="26"/>
  <c r="K464" i="26"/>
  <c r="I445" i="26"/>
  <c r="K404" i="26"/>
  <c r="K382" i="26"/>
  <c r="I239" i="26"/>
  <c r="K310" i="26"/>
  <c r="K288" i="26"/>
  <c r="I193" i="26"/>
  <c r="K82" i="26"/>
  <c r="K61" i="26"/>
  <c r="K48" i="26"/>
  <c r="E413" i="22"/>
  <c r="F413" i="22"/>
  <c r="G413" i="22"/>
  <c r="G389" i="22" s="1"/>
  <c r="H413" i="22"/>
  <c r="H389" i="22" s="1"/>
  <c r="I413" i="22"/>
  <c r="E408" i="22"/>
  <c r="H408" i="22"/>
  <c r="I408" i="22"/>
  <c r="I210" i="22"/>
  <c r="J210" i="22" s="1"/>
  <c r="I211" i="22"/>
  <c r="J211" i="22"/>
  <c r="I212" i="22"/>
  <c r="J212" i="22" s="1"/>
  <c r="I209" i="22"/>
  <c r="J257" i="22"/>
  <c r="J34" i="22"/>
  <c r="J56" i="22"/>
  <c r="J58" i="22"/>
  <c r="E109" i="22"/>
  <c r="F109" i="22"/>
  <c r="G109" i="22"/>
  <c r="H109" i="22"/>
  <c r="I143" i="22"/>
  <c r="J143" i="22" s="1"/>
  <c r="I144" i="22"/>
  <c r="J144" i="22" s="1"/>
  <c r="J145" i="22"/>
  <c r="J156" i="22"/>
  <c r="J157" i="22"/>
  <c r="J174" i="22"/>
  <c r="J176" i="22"/>
  <c r="J179" i="22"/>
  <c r="J472" i="22"/>
  <c r="J471" i="22"/>
  <c r="K471" i="22" s="1"/>
  <c r="J470" i="22"/>
  <c r="J469" i="22"/>
  <c r="J464" i="22"/>
  <c r="E463" i="22"/>
  <c r="J461" i="22"/>
  <c r="J460" i="22"/>
  <c r="J459" i="22"/>
  <c r="J458" i="22"/>
  <c r="J414" i="22"/>
  <c r="J411" i="22"/>
  <c r="J410" i="22"/>
  <c r="J409" i="22"/>
  <c r="J406" i="22"/>
  <c r="J405" i="22"/>
  <c r="J404" i="22"/>
  <c r="J403" i="22"/>
  <c r="J402" i="22"/>
  <c r="J401" i="22"/>
  <c r="K401" i="22" s="1"/>
  <c r="E400" i="22"/>
  <c r="J400" i="22" s="1"/>
  <c r="I400" i="22"/>
  <c r="J398" i="22"/>
  <c r="J397" i="22"/>
  <c r="J396" i="22"/>
  <c r="J395" i="22"/>
  <c r="J394" i="22"/>
  <c r="J393" i="22"/>
  <c r="J392" i="22"/>
  <c r="J382" i="22"/>
  <c r="J381" i="22"/>
  <c r="J380" i="22"/>
  <c r="K380" i="22" s="1"/>
  <c r="E379" i="22"/>
  <c r="G379" i="22"/>
  <c r="I379" i="22"/>
  <c r="J375" i="22"/>
  <c r="J376" i="22"/>
  <c r="K376" i="22" s="1"/>
  <c r="E131" i="22"/>
  <c r="E129" i="22" s="1"/>
  <c r="H230" i="22"/>
  <c r="J230" i="22" s="1"/>
  <c r="I214" i="22"/>
  <c r="J214" i="22"/>
  <c r="J250" i="22"/>
  <c r="J249" i="22"/>
  <c r="J244" i="22"/>
  <c r="J243" i="22"/>
  <c r="J242" i="22"/>
  <c r="J241" i="22"/>
  <c r="J240" i="22"/>
  <c r="J237" i="22"/>
  <c r="J236" i="22"/>
  <c r="J235" i="22"/>
  <c r="J234" i="22"/>
  <c r="J233" i="22"/>
  <c r="J127" i="22"/>
  <c r="J126" i="22"/>
  <c r="J123" i="22"/>
  <c r="J116" i="22"/>
  <c r="J115" i="22"/>
  <c r="J114" i="22"/>
  <c r="J111" i="22"/>
  <c r="J110" i="22"/>
  <c r="J107" i="22"/>
  <c r="K107" i="22" s="1"/>
  <c r="J106" i="22"/>
  <c r="J105" i="22"/>
  <c r="J104" i="22"/>
  <c r="J70" i="22"/>
  <c r="J69" i="22"/>
  <c r="J68" i="22"/>
  <c r="K68" i="22" s="1"/>
  <c r="J67" i="22"/>
  <c r="J66" i="22"/>
  <c r="J385" i="22"/>
  <c r="E165" i="22"/>
  <c r="J165" i="22"/>
  <c r="J159" i="22"/>
  <c r="J149" i="22"/>
  <c r="E125" i="22"/>
  <c r="G125" i="22"/>
  <c r="H125" i="22"/>
  <c r="I125" i="22"/>
  <c r="J33" i="22"/>
  <c r="J43" i="22"/>
  <c r="J44" i="22"/>
  <c r="J64" i="22"/>
  <c r="J65" i="22"/>
  <c r="E113" i="22"/>
  <c r="G113" i="22"/>
  <c r="H113" i="22"/>
  <c r="E239" i="22"/>
  <c r="F239" i="22"/>
  <c r="G239" i="22"/>
  <c r="I239" i="22"/>
  <c r="E246" i="22"/>
  <c r="G246" i="22"/>
  <c r="H246" i="22"/>
  <c r="I246" i="22"/>
  <c r="J32" i="22"/>
  <c r="J47" i="22"/>
  <c r="J48" i="22"/>
  <c r="J49" i="22"/>
  <c r="J50" i="22"/>
  <c r="K50" i="22" s="1"/>
  <c r="J53" i="22"/>
  <c r="J55" i="22"/>
  <c r="J54" i="22"/>
  <c r="J57" i="22"/>
  <c r="J59" i="22"/>
  <c r="J60" i="22"/>
  <c r="J61" i="22"/>
  <c r="E103" i="22"/>
  <c r="F103" i="22"/>
  <c r="J256" i="22"/>
  <c r="J258" i="22"/>
  <c r="E391" i="22"/>
  <c r="I391" i="22"/>
  <c r="E232" i="22"/>
  <c r="F232" i="22"/>
  <c r="G232" i="22"/>
  <c r="I232" i="22"/>
  <c r="J263" i="22"/>
  <c r="J264" i="22"/>
  <c r="J265" i="22"/>
  <c r="J266" i="22"/>
  <c r="E293" i="22"/>
  <c r="F293" i="22"/>
  <c r="F291" i="22"/>
  <c r="I293" i="22"/>
  <c r="E369" i="22"/>
  <c r="E367" i="22" s="1"/>
  <c r="G369" i="22"/>
  <c r="H369" i="22"/>
  <c r="I377" i="22"/>
  <c r="G456" i="22"/>
  <c r="H456" i="22"/>
  <c r="J468" i="22"/>
  <c r="J79" i="22"/>
  <c r="J80" i="22"/>
  <c r="J81" i="22"/>
  <c r="J82" i="22"/>
  <c r="J86" i="22"/>
  <c r="J87" i="22"/>
  <c r="J90" i="22"/>
  <c r="J93" i="22"/>
  <c r="J97" i="22"/>
  <c r="J98" i="22"/>
  <c r="J96" i="22" s="1"/>
  <c r="E195" i="22"/>
  <c r="J195" i="22"/>
  <c r="E218" i="22"/>
  <c r="E216" i="22" s="1"/>
  <c r="F218" i="22"/>
  <c r="I218" i="22"/>
  <c r="J218" i="22"/>
  <c r="J216" i="22" s="1"/>
  <c r="J268" i="22"/>
  <c r="H37" i="22"/>
  <c r="J37" i="22" s="1"/>
  <c r="J39" i="22"/>
  <c r="J40" i="22"/>
  <c r="J73" i="22"/>
  <c r="H204" i="22"/>
  <c r="H193" i="22" s="1"/>
  <c r="J204" i="22"/>
  <c r="J286" i="22"/>
  <c r="J287" i="22"/>
  <c r="J288" i="22"/>
  <c r="J289" i="22"/>
  <c r="G436" i="22"/>
  <c r="H436" i="22"/>
  <c r="I436" i="22"/>
  <c r="J122" i="22"/>
  <c r="G121" i="22"/>
  <c r="H121" i="22"/>
  <c r="I121" i="22"/>
  <c r="J247" i="22"/>
  <c r="J248" i="22"/>
  <c r="J281" i="22"/>
  <c r="J294" i="22"/>
  <c r="J295" i="22"/>
  <c r="J297" i="22"/>
  <c r="J298" i="22"/>
  <c r="J299" i="22"/>
  <c r="J300" i="22"/>
  <c r="J301" i="22"/>
  <c r="J302" i="22"/>
  <c r="J303" i="22"/>
  <c r="J296" i="22"/>
  <c r="J273" i="22"/>
  <c r="J155" i="22"/>
  <c r="J169" i="22"/>
  <c r="J173" i="22"/>
  <c r="F133" i="22"/>
  <c r="F131" i="22"/>
  <c r="F129" i="22" s="1"/>
  <c r="G133" i="22"/>
  <c r="H133" i="22"/>
  <c r="H131" i="22"/>
  <c r="H129" i="22" s="1"/>
  <c r="J262" i="22"/>
  <c r="J267" i="22"/>
  <c r="J269" i="22"/>
  <c r="I261" i="22"/>
  <c r="I280" i="22"/>
  <c r="J280" i="22"/>
  <c r="I277" i="22"/>
  <c r="J277" i="22"/>
  <c r="I309" i="22"/>
  <c r="I307" i="22" s="1"/>
  <c r="I305" i="22" s="1"/>
  <c r="I271" i="22"/>
  <c r="F31" i="22"/>
  <c r="F36" i="22"/>
  <c r="F42" i="22"/>
  <c r="F46" i="22"/>
  <c r="F52" i="22"/>
  <c r="F63" i="22"/>
  <c r="F72" i="22"/>
  <c r="F78" i="22"/>
  <c r="F85" i="22"/>
  <c r="F89" i="22"/>
  <c r="F92" i="22"/>
  <c r="F96" i="22"/>
  <c r="F118" i="22"/>
  <c r="H31" i="22"/>
  <c r="H42" i="22"/>
  <c r="H46" i="22"/>
  <c r="H52" i="22"/>
  <c r="H63" i="22"/>
  <c r="H72" i="22"/>
  <c r="H78" i="22"/>
  <c r="H85" i="22"/>
  <c r="H89" i="22"/>
  <c r="H92" i="22"/>
  <c r="H96" i="22"/>
  <c r="G31" i="22"/>
  <c r="G36" i="22"/>
  <c r="G42" i="22"/>
  <c r="G46" i="22"/>
  <c r="G52" i="22"/>
  <c r="G63" i="22"/>
  <c r="G72" i="22"/>
  <c r="G78" i="22"/>
  <c r="G85" i="22"/>
  <c r="G89" i="22"/>
  <c r="G92" i="22"/>
  <c r="G96" i="22"/>
  <c r="G75" i="22"/>
  <c r="J334" i="22"/>
  <c r="J331" i="22"/>
  <c r="J328" i="22"/>
  <c r="E322" i="22"/>
  <c r="F322" i="22"/>
  <c r="G322" i="22"/>
  <c r="J322" i="22" s="1"/>
  <c r="H322" i="22"/>
  <c r="I322" i="22"/>
  <c r="J323" i="22"/>
  <c r="J166" i="22"/>
  <c r="H208" i="22"/>
  <c r="H206" i="22" s="1"/>
  <c r="H216" i="22"/>
  <c r="H255" i="22"/>
  <c r="H260" i="22"/>
  <c r="H271" i="22"/>
  <c r="H275" i="22"/>
  <c r="H285" i="22"/>
  <c r="H291" i="22"/>
  <c r="H307" i="22"/>
  <c r="H305" i="22"/>
  <c r="H327" i="22"/>
  <c r="H330" i="22"/>
  <c r="H333" i="22"/>
  <c r="E466" i="22"/>
  <c r="F466" i="22"/>
  <c r="F454" i="22" s="1"/>
  <c r="G466" i="22"/>
  <c r="H466" i="22"/>
  <c r="I466" i="22"/>
  <c r="F384" i="22"/>
  <c r="E384" i="22"/>
  <c r="G384" i="22"/>
  <c r="H384" i="22"/>
  <c r="I384" i="22"/>
  <c r="F193" i="22"/>
  <c r="F208" i="22"/>
  <c r="F206" i="22" s="1"/>
  <c r="F216" i="22"/>
  <c r="F255" i="22"/>
  <c r="F260" i="22"/>
  <c r="F271" i="22"/>
  <c r="F275" i="22"/>
  <c r="F307" i="22"/>
  <c r="F305" i="22" s="1"/>
  <c r="F327" i="22"/>
  <c r="F330" i="22"/>
  <c r="F333" i="22"/>
  <c r="E208" i="22"/>
  <c r="E255" i="22"/>
  <c r="E260" i="22"/>
  <c r="E271" i="22"/>
  <c r="E275" i="22"/>
  <c r="E285" i="22"/>
  <c r="E307" i="22"/>
  <c r="E327" i="22"/>
  <c r="E330" i="22"/>
  <c r="E333" i="22"/>
  <c r="E46" i="22"/>
  <c r="E31" i="22"/>
  <c r="E36" i="22"/>
  <c r="E42" i="22"/>
  <c r="E52" i="22"/>
  <c r="E63" i="22"/>
  <c r="E72" i="22"/>
  <c r="E78" i="22"/>
  <c r="E85" i="22"/>
  <c r="E89" i="22"/>
  <c r="J89" i="22" s="1"/>
  <c r="E92" i="22"/>
  <c r="E96" i="22"/>
  <c r="E154" i="22"/>
  <c r="E168" i="22"/>
  <c r="E172" i="22"/>
  <c r="J172" i="22" s="1"/>
  <c r="J184" i="22"/>
  <c r="J370" i="22"/>
  <c r="K370" i="22" s="1"/>
  <c r="J371" i="22"/>
  <c r="J372" i="22"/>
  <c r="J373" i="22"/>
  <c r="K373" i="22" s="1"/>
  <c r="J374" i="22"/>
  <c r="E445" i="22"/>
  <c r="F445" i="22"/>
  <c r="G445" i="22"/>
  <c r="H445" i="22"/>
  <c r="H434" i="22" s="1"/>
  <c r="I42" i="22"/>
  <c r="I46" i="22"/>
  <c r="I52" i="22"/>
  <c r="I63" i="22"/>
  <c r="I72" i="22"/>
  <c r="I78" i="22"/>
  <c r="I85" i="22"/>
  <c r="I89" i="22"/>
  <c r="I92" i="22"/>
  <c r="I96" i="22"/>
  <c r="I103" i="22"/>
  <c r="I109" i="22"/>
  <c r="I100" i="22" s="1"/>
  <c r="I113" i="22"/>
  <c r="G193" i="22"/>
  <c r="G190" i="22" s="1"/>
  <c r="G208" i="22"/>
  <c r="G206" i="22" s="1"/>
  <c r="G216" i="22"/>
  <c r="G255" i="22"/>
  <c r="G260" i="22"/>
  <c r="G271" i="22"/>
  <c r="G275" i="22"/>
  <c r="G252" i="22" s="1"/>
  <c r="G285" i="22"/>
  <c r="G291" i="22"/>
  <c r="G305" i="22"/>
  <c r="G327" i="22"/>
  <c r="G330" i="22"/>
  <c r="G333" i="22"/>
  <c r="I216" i="22"/>
  <c r="I255" i="22"/>
  <c r="I285" i="22"/>
  <c r="I291" i="22"/>
  <c r="I327" i="22"/>
  <c r="I330" i="22"/>
  <c r="I321" i="22" s="1"/>
  <c r="I319" i="22" s="1"/>
  <c r="I333" i="22"/>
  <c r="H454" i="22"/>
  <c r="F389" i="22"/>
  <c r="K469" i="22"/>
  <c r="K464" i="22"/>
  <c r="I445" i="22"/>
  <c r="K396" i="22"/>
  <c r="J317" i="22"/>
  <c r="J316" i="22"/>
  <c r="K316" i="22" s="1"/>
  <c r="J315" i="22"/>
  <c r="J314" i="22"/>
  <c r="K314" i="22" s="1"/>
  <c r="J313" i="22"/>
  <c r="K313" i="22" s="1"/>
  <c r="J312" i="22"/>
  <c r="J311" i="22"/>
  <c r="J310" i="22"/>
  <c r="K310" i="22" s="1"/>
  <c r="K300" i="22"/>
  <c r="K296" i="22"/>
  <c r="K248" i="22"/>
  <c r="I193" i="22"/>
  <c r="K176" i="22"/>
  <c r="J168" i="22"/>
  <c r="K122" i="22"/>
  <c r="K86" i="22"/>
  <c r="K80" i="22"/>
  <c r="K55" i="22"/>
  <c r="K53" i="22"/>
  <c r="K40" i="22"/>
  <c r="J34" i="23"/>
  <c r="J56" i="23"/>
  <c r="K56" i="23" s="1"/>
  <c r="J58" i="23"/>
  <c r="J469" i="23"/>
  <c r="J470" i="23"/>
  <c r="J471" i="23"/>
  <c r="K471" i="23" s="1"/>
  <c r="J472" i="23"/>
  <c r="E400" i="23"/>
  <c r="I400" i="23"/>
  <c r="E408" i="23"/>
  <c r="H408" i="23"/>
  <c r="I408" i="23"/>
  <c r="J408" i="23" s="1"/>
  <c r="E413" i="23"/>
  <c r="F413" i="23"/>
  <c r="F389" i="23" s="1"/>
  <c r="G413" i="23"/>
  <c r="G389" i="23"/>
  <c r="H413" i="23"/>
  <c r="H389" i="23"/>
  <c r="I413" i="23"/>
  <c r="E379" i="23"/>
  <c r="G379" i="23"/>
  <c r="I379" i="23"/>
  <c r="E384" i="23"/>
  <c r="G384" i="23"/>
  <c r="H384" i="23"/>
  <c r="J313" i="23"/>
  <c r="J257" i="23"/>
  <c r="E131" i="23"/>
  <c r="J281" i="23"/>
  <c r="I210" i="23"/>
  <c r="J210" i="23" s="1"/>
  <c r="I211" i="23"/>
  <c r="J211" i="23" s="1"/>
  <c r="I212" i="23"/>
  <c r="J212" i="23" s="1"/>
  <c r="I209" i="23"/>
  <c r="J209" i="23" s="1"/>
  <c r="J174" i="23"/>
  <c r="I143" i="23"/>
  <c r="J143" i="23"/>
  <c r="I144" i="23"/>
  <c r="J144" i="23" s="1"/>
  <c r="J145" i="23"/>
  <c r="J156" i="23"/>
  <c r="J157" i="23"/>
  <c r="J176" i="23"/>
  <c r="J179" i="23"/>
  <c r="K179" i="23" s="1"/>
  <c r="J464" i="23"/>
  <c r="E463" i="23"/>
  <c r="I463" i="23"/>
  <c r="I456" i="23" s="1"/>
  <c r="J461" i="23"/>
  <c r="J460" i="23"/>
  <c r="J459" i="23"/>
  <c r="K459" i="23" s="1"/>
  <c r="J458" i="23"/>
  <c r="J414" i="23"/>
  <c r="J411" i="23"/>
  <c r="J410" i="23"/>
  <c r="J409" i="23"/>
  <c r="J406" i="23"/>
  <c r="J405" i="23"/>
  <c r="J404" i="23"/>
  <c r="J403" i="23"/>
  <c r="J402" i="23"/>
  <c r="J401" i="23"/>
  <c r="J398" i="23"/>
  <c r="K398" i="23" s="1"/>
  <c r="J397" i="23"/>
  <c r="J396" i="23"/>
  <c r="J395" i="23"/>
  <c r="J394" i="23"/>
  <c r="J393" i="23"/>
  <c r="J392" i="23"/>
  <c r="K392" i="23" s="1"/>
  <c r="J385" i="23"/>
  <c r="J382" i="23"/>
  <c r="J381" i="23"/>
  <c r="J380" i="23"/>
  <c r="J375" i="23"/>
  <c r="J376" i="23"/>
  <c r="K376" i="23" s="1"/>
  <c r="H230" i="23"/>
  <c r="I214" i="23"/>
  <c r="J214" i="23"/>
  <c r="J250" i="23"/>
  <c r="J249" i="23"/>
  <c r="J244" i="23"/>
  <c r="K244" i="23" s="1"/>
  <c r="J243" i="23"/>
  <c r="J242" i="23"/>
  <c r="J241" i="23"/>
  <c r="J240" i="23"/>
  <c r="J237" i="23"/>
  <c r="J236" i="23"/>
  <c r="K236" i="23" s="1"/>
  <c r="J235" i="23"/>
  <c r="J234" i="23"/>
  <c r="J233" i="23"/>
  <c r="J127" i="23"/>
  <c r="J126" i="23"/>
  <c r="J123" i="23"/>
  <c r="J116" i="23"/>
  <c r="J114" i="23"/>
  <c r="J111" i="23"/>
  <c r="J107" i="23"/>
  <c r="J106" i="23"/>
  <c r="J105" i="23"/>
  <c r="K105" i="23" s="1"/>
  <c r="J104" i="23"/>
  <c r="J70" i="23"/>
  <c r="J69" i="23"/>
  <c r="J68" i="23"/>
  <c r="J67" i="23"/>
  <c r="J66" i="23"/>
  <c r="J63" i="23" s="1"/>
  <c r="K63" i="23" s="1"/>
  <c r="J173" i="23"/>
  <c r="E165" i="23"/>
  <c r="J165" i="23" s="1"/>
  <c r="J159" i="23"/>
  <c r="J149" i="23"/>
  <c r="E125" i="23"/>
  <c r="G125" i="23"/>
  <c r="H125" i="23"/>
  <c r="J33" i="23"/>
  <c r="J43" i="23"/>
  <c r="J44" i="23"/>
  <c r="J53" i="23"/>
  <c r="J55" i="23"/>
  <c r="J64" i="23"/>
  <c r="J65" i="23"/>
  <c r="J122" i="23"/>
  <c r="G121" i="23"/>
  <c r="H121" i="23"/>
  <c r="I121" i="23"/>
  <c r="E239" i="23"/>
  <c r="F239" i="23"/>
  <c r="G239" i="23"/>
  <c r="I239" i="23"/>
  <c r="E246" i="23"/>
  <c r="J246" i="23"/>
  <c r="G246" i="23"/>
  <c r="H246" i="23"/>
  <c r="I246" i="23"/>
  <c r="J32" i="23"/>
  <c r="J47" i="23"/>
  <c r="J48" i="23"/>
  <c r="K48" i="23" s="1"/>
  <c r="J49" i="23"/>
  <c r="J50" i="23"/>
  <c r="J54" i="23"/>
  <c r="J57" i="23"/>
  <c r="J59" i="23"/>
  <c r="J60" i="23"/>
  <c r="J61" i="23"/>
  <c r="E103" i="23"/>
  <c r="F103" i="23"/>
  <c r="J256" i="23"/>
  <c r="J258" i="23"/>
  <c r="E391" i="23"/>
  <c r="I391" i="23"/>
  <c r="E232" i="23"/>
  <c r="F232" i="23"/>
  <c r="G232" i="23"/>
  <c r="I232" i="23"/>
  <c r="J263" i="23"/>
  <c r="J264" i="23"/>
  <c r="J265" i="23"/>
  <c r="J266" i="23"/>
  <c r="E293" i="23"/>
  <c r="E291" i="23" s="1"/>
  <c r="F293" i="23"/>
  <c r="F291" i="23" s="1"/>
  <c r="G293" i="23"/>
  <c r="G291" i="23" s="1"/>
  <c r="I293" i="23"/>
  <c r="E369" i="23"/>
  <c r="G369" i="23"/>
  <c r="H369" i="23"/>
  <c r="I377" i="23"/>
  <c r="E456" i="23"/>
  <c r="G456" i="23"/>
  <c r="G454" i="23" s="1"/>
  <c r="H456" i="23"/>
  <c r="J468" i="23"/>
  <c r="J79" i="23"/>
  <c r="J80" i="23"/>
  <c r="K80" i="23" s="1"/>
  <c r="J81" i="23"/>
  <c r="J82" i="23"/>
  <c r="J86" i="23"/>
  <c r="J87" i="23"/>
  <c r="J90" i="23"/>
  <c r="J93" i="23"/>
  <c r="J97" i="23"/>
  <c r="J98" i="23"/>
  <c r="K98" i="23" s="1"/>
  <c r="E195" i="23"/>
  <c r="E218" i="23"/>
  <c r="F218" i="23"/>
  <c r="F216" i="23" s="1"/>
  <c r="F190" i="23" s="1"/>
  <c r="I218" i="23"/>
  <c r="I216" i="23" s="1"/>
  <c r="J268" i="23"/>
  <c r="H37" i="23"/>
  <c r="J37" i="23" s="1"/>
  <c r="J39" i="23"/>
  <c r="J40" i="23"/>
  <c r="J73" i="23"/>
  <c r="K73" i="23" s="1"/>
  <c r="J286" i="23"/>
  <c r="J287" i="23"/>
  <c r="J288" i="23"/>
  <c r="J289" i="23"/>
  <c r="H204" i="23"/>
  <c r="J204" i="23"/>
  <c r="G436" i="23"/>
  <c r="H436" i="23"/>
  <c r="I436" i="23"/>
  <c r="J273" i="23"/>
  <c r="J310" i="23"/>
  <c r="J311" i="23"/>
  <c r="J312" i="23"/>
  <c r="J314" i="23"/>
  <c r="J315" i="23"/>
  <c r="J316" i="23"/>
  <c r="J317" i="23"/>
  <c r="J247" i="23"/>
  <c r="J248" i="23"/>
  <c r="J294" i="23"/>
  <c r="K294" i="23" s="1"/>
  <c r="J295" i="23"/>
  <c r="J297" i="23"/>
  <c r="J298" i="23"/>
  <c r="J299" i="23"/>
  <c r="K299" i="23" s="1"/>
  <c r="J300" i="23"/>
  <c r="J301" i="23"/>
  <c r="J302" i="23"/>
  <c r="J303" i="23"/>
  <c r="J296" i="23"/>
  <c r="J155" i="23"/>
  <c r="J169" i="23"/>
  <c r="F133" i="23"/>
  <c r="G133" i="23"/>
  <c r="H133" i="23"/>
  <c r="I280" i="23"/>
  <c r="I277" i="23"/>
  <c r="J277" i="23" s="1"/>
  <c r="J262" i="23"/>
  <c r="J267" i="23"/>
  <c r="J269" i="23"/>
  <c r="I261" i="23"/>
  <c r="J261" i="23"/>
  <c r="I309" i="23"/>
  <c r="J115" i="23"/>
  <c r="E113" i="23"/>
  <c r="J113" i="23" s="1"/>
  <c r="G113" i="23"/>
  <c r="H113" i="23"/>
  <c r="J110" i="23"/>
  <c r="E109" i="23"/>
  <c r="F109" i="23"/>
  <c r="G109" i="23"/>
  <c r="H109" i="23"/>
  <c r="I255" i="23"/>
  <c r="I260" i="23"/>
  <c r="I271" i="23"/>
  <c r="I285" i="23"/>
  <c r="I291" i="23"/>
  <c r="I322" i="23"/>
  <c r="I327" i="23"/>
  <c r="I330" i="23"/>
  <c r="I333" i="23"/>
  <c r="I321" i="23" s="1"/>
  <c r="I319" i="23" s="1"/>
  <c r="F31" i="23"/>
  <c r="F36" i="23"/>
  <c r="F42" i="23"/>
  <c r="F46" i="23"/>
  <c r="F52" i="23"/>
  <c r="F63" i="23"/>
  <c r="F72" i="23"/>
  <c r="F78" i="23"/>
  <c r="F85" i="23"/>
  <c r="F89" i="23"/>
  <c r="F92" i="23"/>
  <c r="F96" i="23"/>
  <c r="F118" i="23"/>
  <c r="J334" i="23"/>
  <c r="J331" i="23"/>
  <c r="J328" i="23"/>
  <c r="E322" i="23"/>
  <c r="F322" i="23"/>
  <c r="G322" i="23"/>
  <c r="H322" i="23"/>
  <c r="J323" i="23"/>
  <c r="J324" i="23"/>
  <c r="J325" i="23"/>
  <c r="J170" i="23"/>
  <c r="J166" i="23"/>
  <c r="H208" i="23"/>
  <c r="H206" i="23" s="1"/>
  <c r="H255" i="23"/>
  <c r="H260" i="23"/>
  <c r="H271" i="23"/>
  <c r="H252" i="23" s="1"/>
  <c r="H275" i="23"/>
  <c r="H285" i="23"/>
  <c r="H291" i="23"/>
  <c r="H307" i="23"/>
  <c r="H305" i="23" s="1"/>
  <c r="H327" i="23"/>
  <c r="H330" i="23"/>
  <c r="H333" i="23"/>
  <c r="H31" i="23"/>
  <c r="H42" i="23"/>
  <c r="H46" i="23"/>
  <c r="H52" i="23"/>
  <c r="H63" i="23"/>
  <c r="H72" i="23"/>
  <c r="H78" i="23"/>
  <c r="H85" i="23"/>
  <c r="H89" i="23"/>
  <c r="H92" i="23"/>
  <c r="H96" i="23"/>
  <c r="H131" i="23"/>
  <c r="H129" i="23" s="1"/>
  <c r="G193" i="23"/>
  <c r="G208" i="23"/>
  <c r="G206" i="23" s="1"/>
  <c r="G216" i="23"/>
  <c r="G255" i="23"/>
  <c r="G260" i="23"/>
  <c r="G271" i="23"/>
  <c r="G275" i="23"/>
  <c r="G285" i="23"/>
  <c r="G305" i="23"/>
  <c r="G327" i="23"/>
  <c r="G330" i="23"/>
  <c r="G333" i="23"/>
  <c r="E208" i="23"/>
  <c r="E206" i="23" s="1"/>
  <c r="E255" i="23"/>
  <c r="E260" i="23"/>
  <c r="E271" i="23"/>
  <c r="E275" i="23"/>
  <c r="E252" i="23" s="1"/>
  <c r="E285" i="23"/>
  <c r="E307" i="23"/>
  <c r="E305" i="23" s="1"/>
  <c r="E327" i="23"/>
  <c r="E330" i="23"/>
  <c r="E333" i="23"/>
  <c r="E31" i="23"/>
  <c r="E28" i="23" s="1"/>
  <c r="E25" i="23" s="1"/>
  <c r="E36" i="23"/>
  <c r="E42" i="23"/>
  <c r="E46" i="23"/>
  <c r="E52" i="23"/>
  <c r="E63" i="23"/>
  <c r="E72" i="23"/>
  <c r="J72" i="23" s="1"/>
  <c r="E78" i="23"/>
  <c r="E85" i="23"/>
  <c r="E89" i="23"/>
  <c r="E92" i="23"/>
  <c r="E96" i="23"/>
  <c r="E75" i="23" s="1"/>
  <c r="E154" i="23"/>
  <c r="J154" i="23" s="1"/>
  <c r="E168" i="23"/>
  <c r="E172" i="23"/>
  <c r="J172" i="23" s="1"/>
  <c r="J108" i="23"/>
  <c r="K108" i="23" s="1"/>
  <c r="J184" i="23"/>
  <c r="K464" i="23"/>
  <c r="J370" i="23"/>
  <c r="J371" i="23"/>
  <c r="K371" i="23" s="1"/>
  <c r="J372" i="23"/>
  <c r="K372" i="23"/>
  <c r="J373" i="23"/>
  <c r="K373" i="23" s="1"/>
  <c r="J374" i="23"/>
  <c r="K374" i="23" s="1"/>
  <c r="E445" i="23"/>
  <c r="F445" i="23"/>
  <c r="F434" i="23" s="1"/>
  <c r="G445" i="23"/>
  <c r="H445" i="23"/>
  <c r="E466" i="23"/>
  <c r="F466" i="23"/>
  <c r="F454" i="23" s="1"/>
  <c r="G466" i="23"/>
  <c r="H466" i="23"/>
  <c r="H454" i="23" s="1"/>
  <c r="G31" i="23"/>
  <c r="G36" i="23"/>
  <c r="G42" i="23"/>
  <c r="G46" i="23"/>
  <c r="G52" i="23"/>
  <c r="G63" i="23"/>
  <c r="G72" i="23"/>
  <c r="G78" i="23"/>
  <c r="G85" i="23"/>
  <c r="J85" i="23" s="1"/>
  <c r="G89" i="23"/>
  <c r="G92" i="23"/>
  <c r="G96" i="23"/>
  <c r="I42" i="23"/>
  <c r="I46" i="23"/>
  <c r="I52" i="23"/>
  <c r="I63" i="23"/>
  <c r="I72" i="23"/>
  <c r="I78" i="23"/>
  <c r="I85" i="23"/>
  <c r="I89" i="23"/>
  <c r="I92" i="23"/>
  <c r="I96" i="23"/>
  <c r="I103" i="23"/>
  <c r="I109" i="23"/>
  <c r="I113" i="23"/>
  <c r="I125" i="23"/>
  <c r="F193" i="23"/>
  <c r="F208" i="23"/>
  <c r="F206" i="23"/>
  <c r="F255" i="23"/>
  <c r="F260" i="23"/>
  <c r="F271" i="23"/>
  <c r="F275" i="23"/>
  <c r="F307" i="23"/>
  <c r="F305" i="23"/>
  <c r="F327" i="23"/>
  <c r="F330" i="23"/>
  <c r="F333" i="23"/>
  <c r="I384" i="23"/>
  <c r="I466" i="23"/>
  <c r="H367" i="23"/>
  <c r="F367" i="23"/>
  <c r="K472" i="23"/>
  <c r="I445" i="23"/>
  <c r="K411" i="23"/>
  <c r="K394" i="23"/>
  <c r="K370" i="23"/>
  <c r="K317" i="23"/>
  <c r="K316" i="23"/>
  <c r="K295" i="23"/>
  <c r="K273" i="23"/>
  <c r="K234" i="23"/>
  <c r="I193" i="23"/>
  <c r="J168" i="23"/>
  <c r="K168" i="23" s="1"/>
  <c r="K127" i="23"/>
  <c r="K70" i="23"/>
  <c r="K65" i="23"/>
  <c r="K54" i="23"/>
  <c r="K33" i="23"/>
  <c r="E445" i="24"/>
  <c r="E434" i="24" s="1"/>
  <c r="F445" i="24"/>
  <c r="G445" i="24"/>
  <c r="H445" i="24"/>
  <c r="I445" i="24"/>
  <c r="E413" i="24"/>
  <c r="F413" i="24"/>
  <c r="G413" i="24"/>
  <c r="G389" i="24" s="1"/>
  <c r="H413" i="24"/>
  <c r="I413" i="24"/>
  <c r="E408" i="24"/>
  <c r="H408" i="24"/>
  <c r="I408" i="24"/>
  <c r="E384" i="24"/>
  <c r="G384" i="24"/>
  <c r="H384" i="24"/>
  <c r="I384" i="24"/>
  <c r="I210" i="24"/>
  <c r="I211" i="24"/>
  <c r="J211" i="24" s="1"/>
  <c r="I212" i="24"/>
  <c r="J212" i="24" s="1"/>
  <c r="I209" i="24"/>
  <c r="J209" i="24" s="1"/>
  <c r="J257" i="24"/>
  <c r="K257" i="24" s="1"/>
  <c r="E131" i="24"/>
  <c r="J281" i="24"/>
  <c r="J313" i="24"/>
  <c r="K313" i="24" s="1"/>
  <c r="J34" i="24"/>
  <c r="J56" i="24"/>
  <c r="J58" i="24"/>
  <c r="E109" i="24"/>
  <c r="F109" i="24"/>
  <c r="G109" i="24"/>
  <c r="H109" i="24"/>
  <c r="I143" i="24"/>
  <c r="J143" i="24" s="1"/>
  <c r="I144" i="24"/>
  <c r="J144" i="24"/>
  <c r="J145" i="24"/>
  <c r="J156" i="24"/>
  <c r="J157" i="24"/>
  <c r="J176" i="24"/>
  <c r="J179" i="24"/>
  <c r="J469" i="24"/>
  <c r="J470" i="24"/>
  <c r="J471" i="24"/>
  <c r="J472" i="24"/>
  <c r="E400" i="24"/>
  <c r="I400" i="24"/>
  <c r="J400" i="24"/>
  <c r="J409" i="24"/>
  <c r="J410" i="24"/>
  <c r="J411" i="24"/>
  <c r="J414" i="24"/>
  <c r="E379" i="24"/>
  <c r="J379" i="24" s="1"/>
  <c r="G379" i="24"/>
  <c r="I379" i="24"/>
  <c r="J385" i="24"/>
  <c r="J249" i="24"/>
  <c r="J250" i="24"/>
  <c r="J240" i="24"/>
  <c r="J241" i="24"/>
  <c r="J242" i="24"/>
  <c r="J243" i="24"/>
  <c r="J244" i="24"/>
  <c r="J233" i="24"/>
  <c r="J234" i="24"/>
  <c r="J235" i="24"/>
  <c r="J236" i="24"/>
  <c r="J237" i="24"/>
  <c r="J464" i="24"/>
  <c r="E463" i="24"/>
  <c r="I463" i="24"/>
  <c r="I456" i="24" s="1"/>
  <c r="J461" i="24"/>
  <c r="J460" i="24"/>
  <c r="J459" i="24"/>
  <c r="J458" i="24"/>
  <c r="J406" i="24"/>
  <c r="J405" i="24"/>
  <c r="J404" i="24"/>
  <c r="J403" i="24"/>
  <c r="K403" i="24" s="1"/>
  <c r="J402" i="24"/>
  <c r="J401" i="24"/>
  <c r="J398" i="24"/>
  <c r="J397" i="24"/>
  <c r="J396" i="24"/>
  <c r="J395" i="24"/>
  <c r="J394" i="24"/>
  <c r="J393" i="24"/>
  <c r="J392" i="24"/>
  <c r="J382" i="24"/>
  <c r="K382" i="24" s="1"/>
  <c r="J381" i="24"/>
  <c r="J380" i="24"/>
  <c r="K380" i="24" s="1"/>
  <c r="J375" i="24"/>
  <c r="J376" i="24"/>
  <c r="H230" i="24"/>
  <c r="J230" i="24" s="1"/>
  <c r="I214" i="24"/>
  <c r="J214" i="24" s="1"/>
  <c r="J127" i="24"/>
  <c r="J126" i="24"/>
  <c r="K126" i="24" s="1"/>
  <c r="J123" i="24"/>
  <c r="J116" i="24"/>
  <c r="J115" i="24"/>
  <c r="J114" i="24"/>
  <c r="J111" i="24"/>
  <c r="J110" i="24"/>
  <c r="J107" i="24"/>
  <c r="J106" i="24"/>
  <c r="J105" i="24"/>
  <c r="J104" i="24"/>
  <c r="J70" i="24"/>
  <c r="J69" i="24"/>
  <c r="K69" i="24" s="1"/>
  <c r="J68" i="24"/>
  <c r="J67" i="24"/>
  <c r="J66" i="24"/>
  <c r="G121" i="24"/>
  <c r="H121" i="24"/>
  <c r="I121" i="24"/>
  <c r="I118" i="24" s="1"/>
  <c r="E125" i="24"/>
  <c r="G125" i="24"/>
  <c r="G118" i="24" s="1"/>
  <c r="H125" i="24"/>
  <c r="J33" i="24"/>
  <c r="J43" i="24"/>
  <c r="J44" i="24"/>
  <c r="J53" i="24"/>
  <c r="J55" i="24"/>
  <c r="K55" i="24" s="1"/>
  <c r="J64" i="24"/>
  <c r="J65" i="24"/>
  <c r="E239" i="24"/>
  <c r="F239" i="24"/>
  <c r="G239" i="24"/>
  <c r="I239" i="24"/>
  <c r="E246" i="24"/>
  <c r="G246" i="24"/>
  <c r="H246" i="24"/>
  <c r="I246" i="24"/>
  <c r="J32" i="24"/>
  <c r="J47" i="24"/>
  <c r="J48" i="24"/>
  <c r="J49" i="24"/>
  <c r="J50" i="24"/>
  <c r="J54" i="24"/>
  <c r="J57" i="24"/>
  <c r="J59" i="24"/>
  <c r="K59" i="24" s="1"/>
  <c r="J60" i="24"/>
  <c r="J61" i="24"/>
  <c r="E103" i="24"/>
  <c r="F103" i="24"/>
  <c r="I103" i="24"/>
  <c r="E113" i="24"/>
  <c r="E100" i="24" s="1"/>
  <c r="G113" i="24"/>
  <c r="G100" i="24" s="1"/>
  <c r="H113" i="24"/>
  <c r="J256" i="24"/>
  <c r="J258" i="24"/>
  <c r="E391" i="24"/>
  <c r="I391" i="24"/>
  <c r="E232" i="24"/>
  <c r="F232" i="24"/>
  <c r="G232" i="24"/>
  <c r="I232" i="24"/>
  <c r="E293" i="24"/>
  <c r="E291" i="24" s="1"/>
  <c r="F293" i="24"/>
  <c r="G293" i="24"/>
  <c r="G291" i="24" s="1"/>
  <c r="I293" i="24"/>
  <c r="E369" i="24"/>
  <c r="G369" i="24"/>
  <c r="H369" i="24"/>
  <c r="I377" i="24"/>
  <c r="I369" i="24" s="1"/>
  <c r="G456" i="24"/>
  <c r="H456" i="24"/>
  <c r="H454" i="24" s="1"/>
  <c r="J468" i="24"/>
  <c r="J79" i="24"/>
  <c r="J80" i="24"/>
  <c r="J81" i="24"/>
  <c r="J82" i="24"/>
  <c r="J86" i="24"/>
  <c r="K86" i="24" s="1"/>
  <c r="J87" i="24"/>
  <c r="J90" i="24"/>
  <c r="J93" i="24"/>
  <c r="J92" i="24" s="1"/>
  <c r="K92" i="24" s="1"/>
  <c r="J97" i="24"/>
  <c r="J98" i="24"/>
  <c r="E195" i="24"/>
  <c r="E218" i="24"/>
  <c r="F218" i="24"/>
  <c r="F216" i="24" s="1"/>
  <c r="I218" i="24"/>
  <c r="J267" i="24"/>
  <c r="K267" i="24" s="1"/>
  <c r="J268" i="24"/>
  <c r="J262" i="24"/>
  <c r="J263" i="24"/>
  <c r="J264" i="24"/>
  <c r="J265" i="24"/>
  <c r="J266" i="24"/>
  <c r="J269" i="24"/>
  <c r="J286" i="24"/>
  <c r="J287" i="24"/>
  <c r="J288" i="24"/>
  <c r="J289" i="24"/>
  <c r="H204" i="24"/>
  <c r="H37" i="24"/>
  <c r="J37" i="24"/>
  <c r="J39" i="24"/>
  <c r="J40" i="24"/>
  <c r="J73" i="24"/>
  <c r="G436" i="24"/>
  <c r="G434" i="24" s="1"/>
  <c r="H436" i="24"/>
  <c r="I436" i="24"/>
  <c r="J273" i="24"/>
  <c r="J310" i="24"/>
  <c r="J311" i="24"/>
  <c r="J312" i="24"/>
  <c r="J314" i="24"/>
  <c r="J315" i="24"/>
  <c r="J316" i="24"/>
  <c r="J317" i="24"/>
  <c r="J149" i="24"/>
  <c r="J155" i="24"/>
  <c r="J159" i="24"/>
  <c r="E165" i="24"/>
  <c r="J169" i="24"/>
  <c r="J122" i="24"/>
  <c r="K122" i="24" s="1"/>
  <c r="J247" i="24"/>
  <c r="K247" i="24" s="1"/>
  <c r="J248" i="24"/>
  <c r="J294" i="24"/>
  <c r="J295" i="24"/>
  <c r="J297" i="24"/>
  <c r="J298" i="24"/>
  <c r="J299" i="24"/>
  <c r="J300" i="24"/>
  <c r="J301" i="24"/>
  <c r="J302" i="24"/>
  <c r="J303" i="24"/>
  <c r="J296" i="24"/>
  <c r="K296" i="24" s="1"/>
  <c r="F133" i="24"/>
  <c r="G133" i="24"/>
  <c r="G131" i="24" s="1"/>
  <c r="G129" i="24" s="1"/>
  <c r="H133" i="24"/>
  <c r="I261" i="24"/>
  <c r="J261" i="24"/>
  <c r="I277" i="24"/>
  <c r="J277" i="24" s="1"/>
  <c r="I280" i="24"/>
  <c r="J280" i="24" s="1"/>
  <c r="I309" i="24"/>
  <c r="F31" i="24"/>
  <c r="F36" i="24"/>
  <c r="F42" i="24"/>
  <c r="F46" i="24"/>
  <c r="F52" i="24"/>
  <c r="F63" i="24"/>
  <c r="F72" i="24"/>
  <c r="F78" i="24"/>
  <c r="F85" i="24"/>
  <c r="F89" i="24"/>
  <c r="F92" i="24"/>
  <c r="F96" i="24"/>
  <c r="F118" i="24"/>
  <c r="G31" i="24"/>
  <c r="G36" i="24"/>
  <c r="G42" i="24"/>
  <c r="G46" i="24"/>
  <c r="G52" i="24"/>
  <c r="G63" i="24"/>
  <c r="G72" i="24"/>
  <c r="G78" i="24"/>
  <c r="G85" i="24"/>
  <c r="G89" i="24"/>
  <c r="G92" i="24"/>
  <c r="G96" i="24"/>
  <c r="G75" i="24"/>
  <c r="J334" i="24"/>
  <c r="J331" i="24"/>
  <c r="J328" i="24"/>
  <c r="E322" i="24"/>
  <c r="J322" i="24" s="1"/>
  <c r="F322" i="24"/>
  <c r="F321" i="24" s="1"/>
  <c r="G322" i="24"/>
  <c r="H322" i="24"/>
  <c r="I322" i="24"/>
  <c r="I321" i="24" s="1"/>
  <c r="I319" i="24" s="1"/>
  <c r="J323" i="24"/>
  <c r="J324" i="24"/>
  <c r="J325" i="24"/>
  <c r="J166" i="24"/>
  <c r="J150" i="24"/>
  <c r="J151" i="24"/>
  <c r="J152" i="24"/>
  <c r="H208" i="24"/>
  <c r="H206" i="24" s="1"/>
  <c r="H255" i="24"/>
  <c r="H260" i="24"/>
  <c r="H271" i="24"/>
  <c r="H275" i="24"/>
  <c r="H285" i="24"/>
  <c r="H291" i="24"/>
  <c r="H307" i="24"/>
  <c r="H305" i="24" s="1"/>
  <c r="H327" i="24"/>
  <c r="H330" i="24"/>
  <c r="H333" i="24"/>
  <c r="H31" i="24"/>
  <c r="H36" i="24"/>
  <c r="H42" i="24"/>
  <c r="H46" i="24"/>
  <c r="H52" i="24"/>
  <c r="H63" i="24"/>
  <c r="H72" i="24"/>
  <c r="H78" i="24"/>
  <c r="H85" i="24"/>
  <c r="H89" i="24"/>
  <c r="H92" i="24"/>
  <c r="H96" i="24"/>
  <c r="F193" i="24"/>
  <c r="F208" i="24"/>
  <c r="F255" i="24"/>
  <c r="F260" i="24"/>
  <c r="F271" i="24"/>
  <c r="F275" i="24"/>
  <c r="F307" i="24"/>
  <c r="F305" i="24" s="1"/>
  <c r="F327" i="24"/>
  <c r="F330" i="24"/>
  <c r="F333" i="24"/>
  <c r="E208" i="24"/>
  <c r="E206" i="24" s="1"/>
  <c r="E255" i="24"/>
  <c r="E260" i="24"/>
  <c r="E271" i="24"/>
  <c r="E275" i="24"/>
  <c r="E285" i="24"/>
  <c r="E307" i="24"/>
  <c r="E305" i="24" s="1"/>
  <c r="E327" i="24"/>
  <c r="E330" i="24"/>
  <c r="E333" i="24"/>
  <c r="J333" i="24" s="1"/>
  <c r="K333" i="24" s="1"/>
  <c r="E96" i="24"/>
  <c r="E78" i="24"/>
  <c r="E75" i="24" s="1"/>
  <c r="E85" i="24"/>
  <c r="J85" i="24" s="1"/>
  <c r="E89" i="24"/>
  <c r="E92" i="24"/>
  <c r="E31" i="24"/>
  <c r="E36" i="24"/>
  <c r="E42" i="24"/>
  <c r="E46" i="24"/>
  <c r="E52" i="24"/>
  <c r="E63" i="24"/>
  <c r="E72" i="24"/>
  <c r="E154" i="24"/>
  <c r="J154" i="24" s="1"/>
  <c r="E168" i="24"/>
  <c r="J184" i="24"/>
  <c r="J370" i="24"/>
  <c r="J371" i="24"/>
  <c r="J372" i="24"/>
  <c r="J373" i="24"/>
  <c r="J374" i="24"/>
  <c r="J377" i="24"/>
  <c r="H434" i="24"/>
  <c r="E466" i="24"/>
  <c r="F466" i="24"/>
  <c r="G466" i="24"/>
  <c r="H466" i="24"/>
  <c r="I42" i="24"/>
  <c r="I46" i="24"/>
  <c r="I52" i="24"/>
  <c r="I63" i="24"/>
  <c r="I72" i="24"/>
  <c r="I78" i="24"/>
  <c r="I85" i="24"/>
  <c r="I89" i="24"/>
  <c r="I92" i="24"/>
  <c r="I96" i="24"/>
  <c r="I109" i="24"/>
  <c r="I113" i="24"/>
  <c r="I100" i="24" s="1"/>
  <c r="I125" i="24"/>
  <c r="G193" i="24"/>
  <c r="G208" i="24"/>
  <c r="G206" i="24" s="1"/>
  <c r="G216" i="24"/>
  <c r="G255" i="24"/>
  <c r="G260" i="24"/>
  <c r="G271" i="24"/>
  <c r="G275" i="24"/>
  <c r="G285" i="24"/>
  <c r="G305" i="24"/>
  <c r="G327" i="24"/>
  <c r="G330" i="24"/>
  <c r="G321" i="24" s="1"/>
  <c r="G319" i="24"/>
  <c r="G333" i="24"/>
  <c r="I216" i="24"/>
  <c r="I255" i="24"/>
  <c r="I271" i="24"/>
  <c r="I285" i="24"/>
  <c r="I327" i="24"/>
  <c r="I330" i="24"/>
  <c r="I333" i="24"/>
  <c r="I466" i="24"/>
  <c r="H389" i="24"/>
  <c r="F367" i="24"/>
  <c r="F389" i="24"/>
  <c r="K464" i="24"/>
  <c r="K398" i="24"/>
  <c r="K373" i="24"/>
  <c r="K235" i="24"/>
  <c r="I193" i="24"/>
  <c r="J172" i="24"/>
  <c r="K172" i="24" s="1"/>
  <c r="J168" i="24"/>
  <c r="K154" i="24"/>
  <c r="K106" i="24"/>
  <c r="K50" i="24"/>
  <c r="K40" i="24"/>
  <c r="J463" i="23"/>
  <c r="H196" i="9"/>
  <c r="J252" i="7"/>
  <c r="K252" i="7" s="1"/>
  <c r="K397" i="16"/>
  <c r="E406" i="7"/>
  <c r="I233" i="16"/>
  <c r="M85" i="45"/>
  <c r="H293" i="45"/>
  <c r="G178" i="45"/>
  <c r="I64" i="45"/>
  <c r="K23" i="45"/>
  <c r="O23" i="45"/>
  <c r="G23" i="45"/>
  <c r="I454" i="24"/>
  <c r="J463" i="26"/>
  <c r="I456" i="26"/>
  <c r="I454" i="26"/>
  <c r="I307" i="18"/>
  <c r="K44" i="24"/>
  <c r="K60" i="24"/>
  <c r="K81" i="24"/>
  <c r="K176" i="24"/>
  <c r="K236" i="24"/>
  <c r="J255" i="24"/>
  <c r="K255" i="24" s="1"/>
  <c r="K265" i="24"/>
  <c r="K300" i="24"/>
  <c r="K314" i="24"/>
  <c r="K370" i="24"/>
  <c r="K374" i="24"/>
  <c r="K402" i="24"/>
  <c r="K406" i="24"/>
  <c r="K459" i="24"/>
  <c r="I260" i="24"/>
  <c r="J260" i="24" s="1"/>
  <c r="K260" i="24" s="1"/>
  <c r="E216" i="24"/>
  <c r="E456" i="24"/>
  <c r="H36" i="23"/>
  <c r="H193" i="23"/>
  <c r="F131" i="23"/>
  <c r="F129" i="23" s="1"/>
  <c r="F100" i="23"/>
  <c r="K47" i="22"/>
  <c r="K49" i="22"/>
  <c r="K54" i="22"/>
  <c r="K87" i="22"/>
  <c r="K149" i="22"/>
  <c r="J154" i="22"/>
  <c r="J147" i="22" s="1"/>
  <c r="K147" i="22" s="1"/>
  <c r="K243" i="22"/>
  <c r="K256" i="22"/>
  <c r="K267" i="22"/>
  <c r="K297" i="22"/>
  <c r="J309" i="22"/>
  <c r="K309" i="22" s="1"/>
  <c r="K375" i="22"/>
  <c r="K393" i="22"/>
  <c r="K395" i="22"/>
  <c r="K405" i="22"/>
  <c r="K411" i="22"/>
  <c r="K468" i="22"/>
  <c r="K470" i="22"/>
  <c r="F367" i="22"/>
  <c r="F417" i="22" s="1"/>
  <c r="E193" i="22"/>
  <c r="J193" i="22" s="1"/>
  <c r="K193" i="22" s="1"/>
  <c r="H36" i="22"/>
  <c r="K39" i="26"/>
  <c r="K64" i="26"/>
  <c r="K79" i="26"/>
  <c r="K97" i="26"/>
  <c r="K299" i="26"/>
  <c r="K317" i="26"/>
  <c r="K376" i="26"/>
  <c r="K401" i="26"/>
  <c r="K411" i="26"/>
  <c r="I389" i="26"/>
  <c r="I260" i="26"/>
  <c r="J109" i="26"/>
  <c r="K109" i="26" s="1"/>
  <c r="G131" i="26"/>
  <c r="G129" i="26" s="1"/>
  <c r="I208" i="26"/>
  <c r="I206" i="26" s="1"/>
  <c r="I38" i="26" s="1"/>
  <c r="J38" i="26" s="1"/>
  <c r="K38" i="26" s="1"/>
  <c r="J164" i="18"/>
  <c r="I329" i="18"/>
  <c r="J317" i="18"/>
  <c r="K317" i="18"/>
  <c r="E150" i="18"/>
  <c r="J150" i="18"/>
  <c r="K150" i="18" s="1"/>
  <c r="K44" i="7"/>
  <c r="K66" i="7"/>
  <c r="J92" i="7"/>
  <c r="K92" i="7" s="1"/>
  <c r="K346" i="7"/>
  <c r="F396" i="7"/>
  <c r="I235" i="7"/>
  <c r="J235" i="7"/>
  <c r="K235" i="7" s="1"/>
  <c r="J221" i="16"/>
  <c r="K221" i="16" s="1"/>
  <c r="F325" i="16"/>
  <c r="G392" i="16"/>
  <c r="G390" i="16" s="1"/>
  <c r="I306" i="16"/>
  <c r="I304" i="16" s="1"/>
  <c r="I348" i="16" s="1"/>
  <c r="F150" i="16"/>
  <c r="F147" i="16" s="1"/>
  <c r="J254" i="9"/>
  <c r="K254" i="9" s="1"/>
  <c r="J80" i="9"/>
  <c r="K80" i="9" s="1"/>
  <c r="J127" i="9"/>
  <c r="K127" i="9" s="1"/>
  <c r="H148" i="9"/>
  <c r="F219" i="9"/>
  <c r="F98" i="9"/>
  <c r="F77" i="9" s="1"/>
  <c r="K43" i="17"/>
  <c r="K66" i="17"/>
  <c r="K97" i="17"/>
  <c r="J263" i="17"/>
  <c r="K263" i="17"/>
  <c r="H75" i="17"/>
  <c r="J125" i="17"/>
  <c r="K125" i="17" s="1"/>
  <c r="G75" i="17"/>
  <c r="J103" i="17"/>
  <c r="K103" i="17" s="1"/>
  <c r="G205" i="17"/>
  <c r="E161" i="17"/>
  <c r="I395" i="17"/>
  <c r="J395" i="17" s="1"/>
  <c r="K395" i="17" s="1"/>
  <c r="J402" i="17"/>
  <c r="G361" i="29"/>
  <c r="G411" i="29" s="1"/>
  <c r="J223" i="29"/>
  <c r="K223" i="29"/>
  <c r="H28" i="29"/>
  <c r="G428" i="29"/>
  <c r="K97" i="29"/>
  <c r="K60" i="28"/>
  <c r="K156" i="28"/>
  <c r="K310" i="28"/>
  <c r="J439" i="28"/>
  <c r="F315" i="28"/>
  <c r="F313" i="28" s="1"/>
  <c r="E197" i="28"/>
  <c r="H100" i="28"/>
  <c r="G75" i="28"/>
  <c r="K307" i="28"/>
  <c r="E205" i="17"/>
  <c r="J318" i="17"/>
  <c r="J121" i="17"/>
  <c r="K121" i="17" s="1"/>
  <c r="F181" i="29"/>
  <c r="J42" i="29"/>
  <c r="K42" i="29"/>
  <c r="J52" i="29"/>
  <c r="K52" i="29" s="1"/>
  <c r="K54" i="29"/>
  <c r="I457" i="29"/>
  <c r="I450" i="29"/>
  <c r="I448" i="29" s="1"/>
  <c r="E450" i="29"/>
  <c r="H315" i="28"/>
  <c r="H313" i="28" s="1"/>
  <c r="G181" i="28"/>
  <c r="F243" i="28"/>
  <c r="J237" i="28"/>
  <c r="K237" i="28"/>
  <c r="J279" i="28"/>
  <c r="E243" i="28"/>
  <c r="J230" i="28"/>
  <c r="K230" i="28"/>
  <c r="H75" i="28"/>
  <c r="G100" i="28"/>
  <c r="J103" i="28"/>
  <c r="K103" i="28"/>
  <c r="G28" i="28"/>
  <c r="G25" i="28"/>
  <c r="J113" i="28"/>
  <c r="K113" i="28"/>
  <c r="F100" i="28"/>
  <c r="E118" i="28"/>
  <c r="K403" i="28"/>
  <c r="K374" i="28"/>
  <c r="K293" i="28"/>
  <c r="K226" i="28"/>
  <c r="K80" i="28"/>
  <c r="K53" i="28"/>
  <c r="K455" i="28"/>
  <c r="K318" i="17"/>
  <c r="K154" i="22"/>
  <c r="F196" i="9"/>
  <c r="J457" i="29"/>
  <c r="J456" i="26"/>
  <c r="E268" i="45"/>
  <c r="H334" i="45"/>
  <c r="H64" i="45"/>
  <c r="I102" i="45"/>
  <c r="L102" i="45"/>
  <c r="H102" i="45"/>
  <c r="H23" i="45"/>
  <c r="J85" i="45"/>
  <c r="K456" i="26"/>
  <c r="J208" i="26"/>
  <c r="J456" i="24"/>
  <c r="K456" i="24" s="1"/>
  <c r="E454" i="24"/>
  <c r="F131" i="24"/>
  <c r="F129" i="24" s="1"/>
  <c r="J246" i="24"/>
  <c r="K246" i="24" s="1"/>
  <c r="J78" i="23"/>
  <c r="K78" i="23" s="1"/>
  <c r="E258" i="16"/>
  <c r="J258" i="16" s="1"/>
  <c r="K258" i="16" s="1"/>
  <c r="E219" i="9"/>
  <c r="K387" i="9"/>
  <c r="J385" i="9"/>
  <c r="J383" i="9" s="1"/>
  <c r="K383" i="9" s="1"/>
  <c r="J394" i="9"/>
  <c r="K394" i="9" s="1"/>
  <c r="K397" i="9"/>
  <c r="E299" i="29"/>
  <c r="H118" i="29"/>
  <c r="J200" i="29"/>
  <c r="I199" i="29"/>
  <c r="I197" i="29" s="1"/>
  <c r="I181" i="29" s="1"/>
  <c r="J209" i="29"/>
  <c r="E207" i="29"/>
  <c r="E181" i="29" s="1"/>
  <c r="J402" i="29"/>
  <c r="K402" i="29" s="1"/>
  <c r="K405" i="29"/>
  <c r="J121" i="28"/>
  <c r="K121" i="28" s="1"/>
  <c r="K123" i="28"/>
  <c r="J63" i="28"/>
  <c r="K63" i="28" s="1"/>
  <c r="K64" i="28"/>
  <c r="J52" i="28"/>
  <c r="K52" i="28" s="1"/>
  <c r="J96" i="29"/>
  <c r="K96" i="29"/>
  <c r="E454" i="23"/>
  <c r="J456" i="23"/>
  <c r="K165" i="23"/>
  <c r="J379" i="23"/>
  <c r="K379" i="23" s="1"/>
  <c r="J466" i="26"/>
  <c r="J330" i="26"/>
  <c r="K330" i="26"/>
  <c r="J186" i="18"/>
  <c r="K186" i="18" s="1"/>
  <c r="F147" i="18"/>
  <c r="I206" i="18"/>
  <c r="J209" i="18"/>
  <c r="K209" i="18" s="1"/>
  <c r="H206" i="18"/>
  <c r="G394" i="18"/>
  <c r="J93" i="18"/>
  <c r="K93" i="18" s="1"/>
  <c r="K126" i="7"/>
  <c r="J399" i="16"/>
  <c r="I392" i="16"/>
  <c r="I390" i="16" s="1"/>
  <c r="J347" i="17"/>
  <c r="K347" i="17" s="1"/>
  <c r="I328" i="17"/>
  <c r="K145" i="29"/>
  <c r="F28" i="24"/>
  <c r="J333" i="23"/>
  <c r="K333" i="23" s="1"/>
  <c r="E321" i="23"/>
  <c r="J42" i="23"/>
  <c r="K42" i="23" s="1"/>
  <c r="K44" i="23"/>
  <c r="E147" i="26"/>
  <c r="H76" i="16"/>
  <c r="J79" i="16"/>
  <c r="E318" i="9"/>
  <c r="J320" i="9"/>
  <c r="K320" i="9" s="1"/>
  <c r="J136" i="9"/>
  <c r="I133" i="9"/>
  <c r="I131" i="9" s="1"/>
  <c r="J305" i="9"/>
  <c r="I299" i="9"/>
  <c r="I297" i="9" s="1"/>
  <c r="K68" i="17"/>
  <c r="J327" i="29"/>
  <c r="K327" i="29" s="1"/>
  <c r="E448" i="29"/>
  <c r="K64" i="22"/>
  <c r="K168" i="24"/>
  <c r="J195" i="23"/>
  <c r="K195" i="23"/>
  <c r="E193" i="23"/>
  <c r="J232" i="23"/>
  <c r="K232" i="23" s="1"/>
  <c r="G367" i="22"/>
  <c r="G417" i="22" s="1"/>
  <c r="J293" i="22"/>
  <c r="K293" i="22" s="1"/>
  <c r="E291" i="22"/>
  <c r="J291" i="22" s="1"/>
  <c r="K291" i="22" s="1"/>
  <c r="J231" i="7"/>
  <c r="K231" i="7" s="1"/>
  <c r="J136" i="7"/>
  <c r="E165" i="7"/>
  <c r="K167" i="28"/>
  <c r="J138" i="28"/>
  <c r="K138" i="28"/>
  <c r="J324" i="28"/>
  <c r="K324" i="28"/>
  <c r="G227" i="45"/>
  <c r="J400" i="23"/>
  <c r="K400" i="23" s="1"/>
  <c r="E305" i="22"/>
  <c r="J305" i="22" s="1"/>
  <c r="K305" i="22" s="1"/>
  <c r="J307" i="22"/>
  <c r="K307" i="22" s="1"/>
  <c r="K98" i="22"/>
  <c r="K96" i="22"/>
  <c r="G454" i="22"/>
  <c r="J171" i="7"/>
  <c r="J240" i="9"/>
  <c r="K240" i="9"/>
  <c r="E238" i="9"/>
  <c r="J238" i="9"/>
  <c r="K238" i="9" s="1"/>
  <c r="J151" i="9"/>
  <c r="K151" i="9" s="1"/>
  <c r="J363" i="9"/>
  <c r="K363" i="9" s="1"/>
  <c r="G181" i="29"/>
  <c r="J246" i="29"/>
  <c r="K246" i="29" s="1"/>
  <c r="H100" i="29"/>
  <c r="E28" i="29"/>
  <c r="J407" i="29"/>
  <c r="G383" i="29"/>
  <c r="I251" i="29"/>
  <c r="J251" i="29" s="1"/>
  <c r="K251" i="29" s="1"/>
  <c r="J252" i="29"/>
  <c r="K252" i="29" s="1"/>
  <c r="K365" i="29"/>
  <c r="H252" i="24"/>
  <c r="I291" i="24"/>
  <c r="E252" i="22"/>
  <c r="H252" i="22"/>
  <c r="J78" i="22"/>
  <c r="J307" i="26"/>
  <c r="K307" i="26" s="1"/>
  <c r="I305" i="26"/>
  <c r="J413" i="26"/>
  <c r="G118" i="26"/>
  <c r="J121" i="26"/>
  <c r="K121" i="26" s="1"/>
  <c r="J214" i="18"/>
  <c r="K214" i="18" s="1"/>
  <c r="K126" i="16"/>
  <c r="E119" i="16"/>
  <c r="K43" i="16"/>
  <c r="J42" i="16"/>
  <c r="K42" i="16"/>
  <c r="I137" i="16"/>
  <c r="J137" i="16" s="1"/>
  <c r="G132" i="16"/>
  <c r="J333" i="16"/>
  <c r="I327" i="16"/>
  <c r="I325" i="16" s="1"/>
  <c r="J252" i="9"/>
  <c r="K252" i="9" s="1"/>
  <c r="J53" i="9"/>
  <c r="K53" i="9" s="1"/>
  <c r="K56" i="9"/>
  <c r="I38" i="9"/>
  <c r="K48" i="9"/>
  <c r="J46" i="9"/>
  <c r="K46" i="9"/>
  <c r="G306" i="17"/>
  <c r="G356" i="17"/>
  <c r="J339" i="17"/>
  <c r="K339" i="17"/>
  <c r="J223" i="28"/>
  <c r="K223" i="28" s="1"/>
  <c r="J109" i="28"/>
  <c r="K109" i="28" s="1"/>
  <c r="J371" i="28"/>
  <c r="K371" i="28" s="1"/>
  <c r="I363" i="28"/>
  <c r="I361" i="28" s="1"/>
  <c r="I411" i="28" s="1"/>
  <c r="F319" i="24"/>
  <c r="J327" i="24"/>
  <c r="K327" i="24" s="1"/>
  <c r="J42" i="24"/>
  <c r="K42" i="24" s="1"/>
  <c r="K43" i="24"/>
  <c r="J210" i="24"/>
  <c r="I208" i="24"/>
  <c r="I206" i="24" s="1"/>
  <c r="F434" i="22"/>
  <c r="I282" i="22"/>
  <c r="E456" i="22"/>
  <c r="E454" i="22" s="1"/>
  <c r="I463" i="22"/>
  <c r="J463" i="22" s="1"/>
  <c r="J96" i="26"/>
  <c r="K96" i="26" s="1"/>
  <c r="K98" i="26"/>
  <c r="E100" i="26"/>
  <c r="J204" i="26"/>
  <c r="K204" i="26" s="1"/>
  <c r="H193" i="26"/>
  <c r="H190" i="26" s="1"/>
  <c r="J406" i="18"/>
  <c r="K406" i="18" s="1"/>
  <c r="J353" i="18"/>
  <c r="J321" i="7"/>
  <c r="J315" i="7" s="1"/>
  <c r="I315" i="7"/>
  <c r="I313" i="7"/>
  <c r="J104" i="16"/>
  <c r="K104" i="16" s="1"/>
  <c r="F101" i="16"/>
  <c r="J101" i="16" s="1"/>
  <c r="K101" i="16" s="1"/>
  <c r="G325" i="16"/>
  <c r="J246" i="16"/>
  <c r="K246" i="16" s="1"/>
  <c r="K404" i="16"/>
  <c r="J402" i="16"/>
  <c r="K402" i="16" s="1"/>
  <c r="G196" i="9"/>
  <c r="F373" i="17"/>
  <c r="J384" i="17"/>
  <c r="J46" i="17"/>
  <c r="K46" i="17" s="1"/>
  <c r="J385" i="29"/>
  <c r="F206" i="24"/>
  <c r="H75" i="24"/>
  <c r="E389" i="24"/>
  <c r="J413" i="24"/>
  <c r="F417" i="23"/>
  <c r="I75" i="23"/>
  <c r="E118" i="23"/>
  <c r="E28" i="22"/>
  <c r="J466" i="22"/>
  <c r="K466" i="22" s="1"/>
  <c r="J85" i="22"/>
  <c r="K85" i="22" s="1"/>
  <c r="J261" i="22"/>
  <c r="K261" i="22" s="1"/>
  <c r="I260" i="22"/>
  <c r="J31" i="22"/>
  <c r="K31" i="22" s="1"/>
  <c r="J445" i="26"/>
  <c r="G434" i="26"/>
  <c r="J277" i="26"/>
  <c r="K50" i="26"/>
  <c r="J46" i="26"/>
  <c r="K46" i="26" s="1"/>
  <c r="E118" i="26"/>
  <c r="J118" i="26" s="1"/>
  <c r="K118" i="26" s="1"/>
  <c r="J125" i="26"/>
  <c r="K125" i="26" s="1"/>
  <c r="I282" i="26"/>
  <c r="J282" i="26" s="1"/>
  <c r="E129" i="26"/>
  <c r="J379" i="26"/>
  <c r="J408" i="26"/>
  <c r="I76" i="18"/>
  <c r="J229" i="18"/>
  <c r="K229" i="18" s="1"/>
  <c r="J79" i="18"/>
  <c r="J403" i="18"/>
  <c r="I396" i="18"/>
  <c r="J52" i="18"/>
  <c r="K52" i="18" s="1"/>
  <c r="F78" i="7"/>
  <c r="E78" i="7"/>
  <c r="E25" i="7" s="1"/>
  <c r="E295" i="7" s="1"/>
  <c r="J227" i="7"/>
  <c r="K227" i="7" s="1"/>
  <c r="I220" i="7"/>
  <c r="G202" i="16"/>
  <c r="J336" i="16"/>
  <c r="K336" i="16" s="1"/>
  <c r="K65" i="16"/>
  <c r="I102" i="9"/>
  <c r="H28" i="9"/>
  <c r="E77" i="9"/>
  <c r="J161" i="9"/>
  <c r="J65" i="9"/>
  <c r="K65" i="9"/>
  <c r="K66" i="9"/>
  <c r="J72" i="17"/>
  <c r="K72" i="17" s="1"/>
  <c r="H247" i="17"/>
  <c r="K192" i="17"/>
  <c r="J224" i="17"/>
  <c r="K224" i="17"/>
  <c r="K340" i="17"/>
  <c r="K316" i="17"/>
  <c r="K271" i="17"/>
  <c r="K256" i="17"/>
  <c r="K252" i="17"/>
  <c r="K215" i="17"/>
  <c r="K195" i="17"/>
  <c r="K107" i="17"/>
  <c r="K98" i="17"/>
  <c r="K64" i="17"/>
  <c r="K54" i="17"/>
  <c r="K47" i="17"/>
  <c r="K57" i="17"/>
  <c r="K267" i="17"/>
  <c r="K218" i="17"/>
  <c r="K188" i="17"/>
  <c r="K343" i="17"/>
  <c r="K333" i="17"/>
  <c r="K397" i="17"/>
  <c r="K348" i="17"/>
  <c r="K221" i="17"/>
  <c r="K211" i="17"/>
  <c r="K126" i="17"/>
  <c r="K106" i="17"/>
  <c r="K93" i="17"/>
  <c r="K80" i="17"/>
  <c r="K60" i="17"/>
  <c r="K37" i="17"/>
  <c r="K407" i="17"/>
  <c r="K345" i="17"/>
  <c r="K313" i="17"/>
  <c r="K257" i="17"/>
  <c r="K226" i="17"/>
  <c r="K209" i="17"/>
  <c r="K183" i="17"/>
  <c r="K136" i="17"/>
  <c r="K104" i="17"/>
  <c r="K73" i="17"/>
  <c r="K40" i="17"/>
  <c r="K320" i="17"/>
  <c r="K332" i="17"/>
  <c r="K196" i="17"/>
  <c r="K242" i="17"/>
  <c r="K266" i="17"/>
  <c r="K410" i="17"/>
  <c r="K61" i="17"/>
  <c r="J125" i="29"/>
  <c r="K125" i="29" s="1"/>
  <c r="F100" i="29"/>
  <c r="J268" i="29"/>
  <c r="K81" i="28"/>
  <c r="H243" i="28"/>
  <c r="H178" i="28" s="1"/>
  <c r="K366" i="28"/>
  <c r="J201" i="28"/>
  <c r="I199" i="28"/>
  <c r="I197" i="28" s="1"/>
  <c r="G252" i="24"/>
  <c r="J103" i="24"/>
  <c r="K103" i="24" s="1"/>
  <c r="F100" i="24"/>
  <c r="E147" i="23"/>
  <c r="K47" i="23"/>
  <c r="E206" i="22"/>
  <c r="I369" i="22"/>
  <c r="J377" i="22"/>
  <c r="K377" i="22" s="1"/>
  <c r="J52" i="22"/>
  <c r="K52" i="22" s="1"/>
  <c r="H100" i="22"/>
  <c r="F28" i="26"/>
  <c r="E28" i="26"/>
  <c r="E25" i="26" s="1"/>
  <c r="I100" i="26"/>
  <c r="J78" i="26"/>
  <c r="J239" i="26"/>
  <c r="K239" i="26" s="1"/>
  <c r="G28" i="26"/>
  <c r="G25" i="26" s="1"/>
  <c r="H321" i="26"/>
  <c r="H319" i="26" s="1"/>
  <c r="F28" i="18"/>
  <c r="J73" i="18"/>
  <c r="K73" i="18" s="1"/>
  <c r="J225" i="18"/>
  <c r="K225" i="18" s="1"/>
  <c r="J319" i="18"/>
  <c r="J215" i="7"/>
  <c r="K215" i="7" s="1"/>
  <c r="F28" i="7"/>
  <c r="F25" i="7" s="1"/>
  <c r="J134" i="7"/>
  <c r="K134" i="7" s="1"/>
  <c r="K318" i="7"/>
  <c r="J31" i="7"/>
  <c r="K33" i="7"/>
  <c r="H202" i="16"/>
  <c r="J205" i="16"/>
  <c r="K205" i="16" s="1"/>
  <c r="J238" i="16"/>
  <c r="K238" i="16" s="1"/>
  <c r="J90" i="16"/>
  <c r="K90" i="16" s="1"/>
  <c r="F76" i="16"/>
  <c r="J110" i="16"/>
  <c r="K110" i="16"/>
  <c r="I260" i="16"/>
  <c r="I258" i="16" s="1"/>
  <c r="J262" i="16"/>
  <c r="K32" i="16"/>
  <c r="J329" i="9"/>
  <c r="K329" i="9" s="1"/>
  <c r="K43" i="9"/>
  <c r="J42" i="9"/>
  <c r="K42" i="9"/>
  <c r="I100" i="9"/>
  <c r="I221" i="9"/>
  <c r="J78" i="29"/>
  <c r="K78" i="29" s="1"/>
  <c r="J378" i="29"/>
  <c r="K378" i="29" s="1"/>
  <c r="J394" i="29"/>
  <c r="K394" i="29" s="1"/>
  <c r="K396" i="29"/>
  <c r="E428" i="29"/>
  <c r="I315" i="28"/>
  <c r="I313" i="28" s="1"/>
  <c r="J262" i="28"/>
  <c r="K262" i="28" s="1"/>
  <c r="H28" i="28"/>
  <c r="H25" i="28" s="1"/>
  <c r="K260" i="28"/>
  <c r="K195" i="28"/>
  <c r="K466" i="28"/>
  <c r="K379" i="28"/>
  <c r="K304" i="28"/>
  <c r="K150" i="28"/>
  <c r="I457" i="28"/>
  <c r="I450" i="28" s="1"/>
  <c r="I448" i="28" s="1"/>
  <c r="M213" i="45"/>
  <c r="O64" i="45"/>
  <c r="I75" i="24"/>
  <c r="K461" i="24"/>
  <c r="K273" i="24"/>
  <c r="K244" i="24"/>
  <c r="K233" i="24"/>
  <c r="K159" i="24"/>
  <c r="K80" i="24"/>
  <c r="K65" i="24"/>
  <c r="K458" i="24"/>
  <c r="K394" i="24"/>
  <c r="K303" i="24"/>
  <c r="K295" i="24"/>
  <c r="K242" i="24"/>
  <c r="K61" i="24"/>
  <c r="H321" i="24"/>
  <c r="H319" i="24" s="1"/>
  <c r="E321" i="24"/>
  <c r="J321" i="24" s="1"/>
  <c r="K321" i="24" s="1"/>
  <c r="K287" i="24"/>
  <c r="K93" i="24"/>
  <c r="K468" i="24"/>
  <c r="K258" i="24"/>
  <c r="H216" i="24"/>
  <c r="K396" i="24"/>
  <c r="K241" i="24"/>
  <c r="K470" i="24"/>
  <c r="I100" i="23"/>
  <c r="F321" i="22"/>
  <c r="F319" i="22"/>
  <c r="H75" i="22"/>
  <c r="H367" i="22"/>
  <c r="H417" i="22" s="1"/>
  <c r="J232" i="22"/>
  <c r="K232" i="22" s="1"/>
  <c r="I389" i="22"/>
  <c r="E389" i="22"/>
  <c r="F417" i="26"/>
  <c r="G319" i="26"/>
  <c r="I133" i="26"/>
  <c r="J52" i="26"/>
  <c r="K52" i="26" s="1"/>
  <c r="K53" i="26"/>
  <c r="F101" i="18"/>
  <c r="E28" i="18"/>
  <c r="H76" i="18"/>
  <c r="J385" i="18"/>
  <c r="G206" i="18"/>
  <c r="J63" i="18"/>
  <c r="K63" i="18" s="1"/>
  <c r="J46" i="18"/>
  <c r="K46" i="18" s="1"/>
  <c r="G212" i="7"/>
  <c r="E212" i="7"/>
  <c r="H103" i="7"/>
  <c r="F121" i="7"/>
  <c r="J88" i="7"/>
  <c r="K88" i="7" s="1"/>
  <c r="J353" i="7"/>
  <c r="K353" i="7" s="1"/>
  <c r="J345" i="7"/>
  <c r="K345" i="7" s="1"/>
  <c r="F202" i="16"/>
  <c r="F28" i="16"/>
  <c r="F25" i="16"/>
  <c r="J165" i="16"/>
  <c r="J236" i="16"/>
  <c r="K236" i="16" s="1"/>
  <c r="G102" i="9"/>
  <c r="G383" i="9"/>
  <c r="F102" i="9"/>
  <c r="J115" i="9"/>
  <c r="K115" i="9" s="1"/>
  <c r="J87" i="9"/>
  <c r="K87" i="9" s="1"/>
  <c r="E28" i="9"/>
  <c r="E25" i="9" s="1"/>
  <c r="J166" i="9"/>
  <c r="K166" i="9"/>
  <c r="I318" i="9"/>
  <c r="K311" i="17"/>
  <c r="H28" i="17"/>
  <c r="H25" i="17"/>
  <c r="J228" i="17"/>
  <c r="K228" i="17" s="1"/>
  <c r="J199" i="17"/>
  <c r="K199" i="17" s="1"/>
  <c r="K315" i="17"/>
  <c r="K341" i="17"/>
  <c r="K201" i="17"/>
  <c r="K270" i="17"/>
  <c r="K324" i="17"/>
  <c r="J308" i="17"/>
  <c r="K411" i="17"/>
  <c r="K39" i="17"/>
  <c r="I100" i="29"/>
  <c r="H75" i="29"/>
  <c r="H25" i="29"/>
  <c r="H22" i="29" s="1"/>
  <c r="J89" i="29"/>
  <c r="K89" i="29" s="1"/>
  <c r="F75" i="29"/>
  <c r="E75" i="28"/>
  <c r="J85" i="28"/>
  <c r="K85" i="28" s="1"/>
  <c r="K292" i="28"/>
  <c r="J430" i="28"/>
  <c r="E428" i="28"/>
  <c r="K93" i="28"/>
  <c r="K105" i="22"/>
  <c r="J103" i="26"/>
  <c r="K103" i="26"/>
  <c r="K154" i="26"/>
  <c r="E319" i="24"/>
  <c r="J319" i="24" s="1"/>
  <c r="K319" i="24" s="1"/>
  <c r="I98" i="9"/>
  <c r="I77" i="9"/>
  <c r="J100" i="9"/>
  <c r="K315" i="7"/>
  <c r="J199" i="28"/>
  <c r="F190" i="24"/>
  <c r="J38" i="9"/>
  <c r="I36" i="9"/>
  <c r="I28" i="9" s="1"/>
  <c r="I25" i="9" s="1"/>
  <c r="I22" i="9" s="1"/>
  <c r="J207" i="29"/>
  <c r="K207" i="29" s="1"/>
  <c r="K209" i="29"/>
  <c r="J221" i="9"/>
  <c r="K379" i="26"/>
  <c r="J133" i="26"/>
  <c r="I131" i="26"/>
  <c r="I129" i="26" s="1"/>
  <c r="K31" i="7"/>
  <c r="G130" i="16"/>
  <c r="K79" i="16"/>
  <c r="K385" i="9"/>
  <c r="E319" i="23"/>
  <c r="K456" i="23"/>
  <c r="K89" i="17"/>
  <c r="K31" i="16"/>
  <c r="K319" i="18"/>
  <c r="J220" i="7"/>
  <c r="K220" i="7" s="1"/>
  <c r="I275" i="26"/>
  <c r="I456" i="22"/>
  <c r="I454" i="22" s="1"/>
  <c r="I38" i="7"/>
  <c r="J193" i="23"/>
  <c r="K193" i="23" s="1"/>
  <c r="I341" i="9"/>
  <c r="K399" i="16"/>
  <c r="J260" i="16"/>
  <c r="K260" i="16" s="1"/>
  <c r="I190" i="26"/>
  <c r="I181" i="28"/>
  <c r="K38" i="9"/>
  <c r="J36" i="9"/>
  <c r="K36" i="9" s="1"/>
  <c r="I36" i="26"/>
  <c r="K100" i="9"/>
  <c r="J98" i="9"/>
  <c r="K98" i="9" s="1"/>
  <c r="J36" i="26"/>
  <c r="K36" i="26" s="1"/>
  <c r="I38" i="29"/>
  <c r="I36" i="29" s="1"/>
  <c r="I28" i="29" s="1"/>
  <c r="I38" i="28"/>
  <c r="J197" i="28"/>
  <c r="I394" i="18"/>
  <c r="J450" i="29"/>
  <c r="K450" i="29" s="1"/>
  <c r="F454" i="24"/>
  <c r="K301" i="24"/>
  <c r="K294" i="24"/>
  <c r="K73" i="24"/>
  <c r="K268" i="24"/>
  <c r="J218" i="24"/>
  <c r="K218" i="24" s="1"/>
  <c r="K66" i="24"/>
  <c r="K70" i="24"/>
  <c r="K107" i="24"/>
  <c r="K393" i="24"/>
  <c r="K397" i="24"/>
  <c r="K460" i="24"/>
  <c r="K243" i="24"/>
  <c r="K179" i="24"/>
  <c r="K58" i="24"/>
  <c r="J327" i="23"/>
  <c r="K327" i="23" s="1"/>
  <c r="K269" i="23"/>
  <c r="K267" i="23"/>
  <c r="K296" i="23"/>
  <c r="K303" i="23"/>
  <c r="K247" i="23"/>
  <c r="K315" i="23"/>
  <c r="K311" i="23"/>
  <c r="K310" i="23"/>
  <c r="K265" i="23"/>
  <c r="K258" i="23"/>
  <c r="K256" i="23"/>
  <c r="K61" i="23"/>
  <c r="K43" i="23"/>
  <c r="K67" i="23"/>
  <c r="K123" i="23"/>
  <c r="K233" i="23"/>
  <c r="K241" i="23"/>
  <c r="J327" i="22"/>
  <c r="K327" i="22" s="1"/>
  <c r="K234" i="22"/>
  <c r="K97" i="22"/>
  <c r="K79" i="22"/>
  <c r="J103" i="22"/>
  <c r="K103" i="22" s="1"/>
  <c r="K233" i="22"/>
  <c r="K381" i="22"/>
  <c r="K403" i="22"/>
  <c r="K404" i="22"/>
  <c r="K409" i="22"/>
  <c r="J85" i="26"/>
  <c r="K85" i="26" s="1"/>
  <c r="K92" i="26"/>
  <c r="K311" i="26"/>
  <c r="K60" i="26"/>
  <c r="K54" i="26"/>
  <c r="K65" i="26"/>
  <c r="K234" i="26"/>
  <c r="K381" i="26"/>
  <c r="K402" i="26"/>
  <c r="K254" i="18"/>
  <c r="K258" i="18"/>
  <c r="K269" i="18"/>
  <c r="K82" i="18"/>
  <c r="K69" i="18"/>
  <c r="K65" i="18"/>
  <c r="K49" i="18"/>
  <c r="K39" i="18"/>
  <c r="K33" i="18"/>
  <c r="J170" i="16"/>
  <c r="J375" i="17"/>
  <c r="G243" i="29"/>
  <c r="G100" i="29"/>
  <c r="J439" i="29"/>
  <c r="J92" i="29"/>
  <c r="K92" i="29" s="1"/>
  <c r="K93" i="29"/>
  <c r="G448" i="29"/>
  <c r="H181" i="28"/>
  <c r="J246" i="28"/>
  <c r="K246" i="28" s="1"/>
  <c r="J303" i="28"/>
  <c r="K303" i="28" s="1"/>
  <c r="I301" i="28"/>
  <c r="J301" i="28" s="1"/>
  <c r="K288" i="24"/>
  <c r="K54" i="24"/>
  <c r="K47" i="24"/>
  <c r="K376" i="24"/>
  <c r="K40" i="23"/>
  <c r="K268" i="23"/>
  <c r="J293" i="23"/>
  <c r="K293" i="23" s="1"/>
  <c r="K385" i="23"/>
  <c r="K401" i="23"/>
  <c r="K402" i="23"/>
  <c r="K406" i="23"/>
  <c r="K409" i="23"/>
  <c r="K295" i="22"/>
  <c r="K294" i="22"/>
  <c r="K247" i="22"/>
  <c r="K288" i="22"/>
  <c r="K268" i="22"/>
  <c r="K264" i="22"/>
  <c r="K263" i="22"/>
  <c r="K60" i="22"/>
  <c r="K33" i="22"/>
  <c r="K179" i="26"/>
  <c r="K470" i="26"/>
  <c r="K296" i="26"/>
  <c r="K176" i="26"/>
  <c r="K69" i="26"/>
  <c r="K241" i="26"/>
  <c r="K472" i="26"/>
  <c r="M312" i="18"/>
  <c r="K191" i="18"/>
  <c r="K222" i="18"/>
  <c r="K244" i="18"/>
  <c r="K316" i="18"/>
  <c r="K400" i="18"/>
  <c r="K127" i="18"/>
  <c r="K105" i="18"/>
  <c r="J249" i="17"/>
  <c r="K249" i="17" s="1"/>
  <c r="F393" i="17"/>
  <c r="I383" i="29"/>
  <c r="I411" i="29" s="1"/>
  <c r="J321" i="29"/>
  <c r="K321" i="29" s="1"/>
  <c r="F28" i="29"/>
  <c r="E100" i="29"/>
  <c r="J121" i="29"/>
  <c r="K121" i="29"/>
  <c r="K122" i="29"/>
  <c r="J303" i="29"/>
  <c r="K303" i="29" s="1"/>
  <c r="I301" i="29"/>
  <c r="J301" i="29" s="1"/>
  <c r="K301" i="29" s="1"/>
  <c r="F428" i="29"/>
  <c r="I100" i="28"/>
  <c r="J460" i="28"/>
  <c r="K460" i="28" s="1"/>
  <c r="K306" i="28"/>
  <c r="K39" i="28"/>
  <c r="K454" i="28"/>
  <c r="K282" i="28"/>
  <c r="J394" i="28"/>
  <c r="K394" i="28" s="1"/>
  <c r="J385" i="28"/>
  <c r="K385" i="28" s="1"/>
  <c r="G428" i="28"/>
  <c r="J131" i="28"/>
  <c r="J129" i="28" s="1"/>
  <c r="K129" i="28" s="1"/>
  <c r="K106" i="28"/>
  <c r="K87" i="28"/>
  <c r="K68" i="28"/>
  <c r="K58" i="28"/>
  <c r="J42" i="28"/>
  <c r="K42" i="28" s="1"/>
  <c r="J428" i="28"/>
  <c r="K428" i="28" s="1"/>
  <c r="I299" i="29"/>
  <c r="K131" i="28"/>
  <c r="K301" i="28"/>
  <c r="H343" i="28"/>
  <c r="J75" i="29"/>
  <c r="K75" i="29" s="1"/>
  <c r="K170" i="16"/>
  <c r="J216" i="24"/>
  <c r="K216" i="24" s="1"/>
  <c r="J299" i="29"/>
  <c r="K299" i="29" s="1"/>
  <c r="G22" i="28"/>
  <c r="K408" i="26"/>
  <c r="K193" i="26"/>
  <c r="I393" i="17"/>
  <c r="I146" i="17"/>
  <c r="I38" i="17"/>
  <c r="I36" i="17" s="1"/>
  <c r="I28" i="17" s="1"/>
  <c r="I25" i="17" s="1"/>
  <c r="K297" i="24"/>
  <c r="I208" i="23"/>
  <c r="I206" i="23" s="1"/>
  <c r="I190" i="23" s="1"/>
  <c r="K472" i="22"/>
  <c r="H396" i="7"/>
  <c r="E152" i="7"/>
  <c r="K307" i="16"/>
  <c r="K58" i="17"/>
  <c r="K82" i="17"/>
  <c r="K197" i="17"/>
  <c r="K219" i="17"/>
  <c r="K253" i="17"/>
  <c r="K273" i="17"/>
  <c r="K321" i="17"/>
  <c r="K399" i="17"/>
  <c r="K32" i="29"/>
  <c r="J287" i="29"/>
  <c r="K287" i="29"/>
  <c r="E129" i="29"/>
  <c r="I131" i="28"/>
  <c r="I129" i="28"/>
  <c r="K385" i="24"/>
  <c r="J89" i="24"/>
  <c r="K37" i="24"/>
  <c r="K405" i="24"/>
  <c r="K472" i="24"/>
  <c r="K301" i="23"/>
  <c r="K86" i="23"/>
  <c r="K81" i="23"/>
  <c r="K59" i="23"/>
  <c r="K50" i="23"/>
  <c r="K381" i="23"/>
  <c r="K395" i="23"/>
  <c r="K404" i="23"/>
  <c r="K458" i="23"/>
  <c r="K460" i="23"/>
  <c r="K258" i="22"/>
  <c r="K104" i="22"/>
  <c r="K236" i="22"/>
  <c r="K241" i="22"/>
  <c r="K244" i="22"/>
  <c r="K49" i="26"/>
  <c r="K93" i="26"/>
  <c r="K256" i="26"/>
  <c r="K268" i="26"/>
  <c r="K105" i="26"/>
  <c r="K107" i="26"/>
  <c r="K236" i="26"/>
  <c r="K469" i="26"/>
  <c r="J264" i="18"/>
  <c r="K264" i="18" s="1"/>
  <c r="K74" i="18"/>
  <c r="K57" i="18"/>
  <c r="K68" i="24"/>
  <c r="K263" i="23"/>
  <c r="K53" i="23"/>
  <c r="K149" i="23"/>
  <c r="K316" i="26"/>
  <c r="K256" i="18"/>
  <c r="K105" i="24"/>
  <c r="K127" i="24"/>
  <c r="K461" i="23"/>
  <c r="K286" i="26"/>
  <c r="K313" i="26"/>
  <c r="K114" i="18"/>
  <c r="K267" i="18"/>
  <c r="K408" i="18"/>
  <c r="K411" i="18"/>
  <c r="K98" i="18"/>
  <c r="K80" i="18"/>
  <c r="K61" i="18"/>
  <c r="K58" i="18"/>
  <c r="K50" i="18"/>
  <c r="K335" i="17"/>
  <c r="K214" i="17"/>
  <c r="K220" i="17"/>
  <c r="K251" i="17"/>
  <c r="K268" i="17"/>
  <c r="K408" i="17"/>
  <c r="K127" i="17"/>
  <c r="K81" i="17"/>
  <c r="K89" i="24"/>
  <c r="E149" i="7"/>
  <c r="J152" i="7"/>
  <c r="K152" i="7" s="1"/>
  <c r="E146" i="7"/>
  <c r="J206" i="23"/>
  <c r="I38" i="23"/>
  <c r="J38" i="23" s="1"/>
  <c r="J36" i="23" s="1"/>
  <c r="K36" i="23" s="1"/>
  <c r="G353" i="45" l="1"/>
  <c r="L334" i="45"/>
  <c r="L372" i="45" s="1"/>
  <c r="O293" i="45"/>
  <c r="E293" i="45"/>
  <c r="F268" i="45"/>
  <c r="N178" i="45"/>
  <c r="G85" i="45"/>
  <c r="J64" i="45"/>
  <c r="L23" i="45"/>
  <c r="N23" i="45"/>
  <c r="F23" i="45"/>
  <c r="I23" i="45"/>
  <c r="E102" i="45"/>
  <c r="G64" i="45"/>
  <c r="G21" i="45" s="1"/>
  <c r="J293" i="45"/>
  <c r="I268" i="45"/>
  <c r="L227" i="45"/>
  <c r="M142" i="45"/>
  <c r="M116" i="45"/>
  <c r="K334" i="45"/>
  <c r="M268" i="45"/>
  <c r="K142" i="45"/>
  <c r="J102" i="45"/>
  <c r="K85" i="45"/>
  <c r="N64" i="45"/>
  <c r="F64" i="45"/>
  <c r="F21" i="45" s="1"/>
  <c r="L64" i="45"/>
  <c r="M23" i="45"/>
  <c r="E23" i="45"/>
  <c r="J23" i="45"/>
  <c r="O334" i="45"/>
  <c r="G334" i="45"/>
  <c r="N227" i="45"/>
  <c r="G372" i="45"/>
  <c r="E325" i="45"/>
  <c r="I334" i="45"/>
  <c r="E64" i="45"/>
  <c r="E21" i="45" s="1"/>
  <c r="N334" i="45"/>
  <c r="F334" i="45"/>
  <c r="M293" i="45"/>
  <c r="E334" i="45"/>
  <c r="E227" i="45"/>
  <c r="L21" i="45"/>
  <c r="G293" i="45"/>
  <c r="K178" i="45"/>
  <c r="L178" i="45"/>
  <c r="L142" i="45"/>
  <c r="L140" i="45" s="1"/>
  <c r="J142" i="45"/>
  <c r="N142" i="45"/>
  <c r="N140" i="45" s="1"/>
  <c r="K64" i="45"/>
  <c r="K21" i="45" s="1"/>
  <c r="G102" i="45"/>
  <c r="G19" i="45" s="1"/>
  <c r="N353" i="45"/>
  <c r="M334" i="45"/>
  <c r="H21" i="45"/>
  <c r="J208" i="23"/>
  <c r="J38" i="17"/>
  <c r="I299" i="28"/>
  <c r="J299" i="28" s="1"/>
  <c r="K299" i="28" s="1"/>
  <c r="J100" i="29"/>
  <c r="K100" i="29" s="1"/>
  <c r="H288" i="17"/>
  <c r="H22" i="17"/>
  <c r="I367" i="22"/>
  <c r="I417" i="22" s="1"/>
  <c r="J369" i="22"/>
  <c r="K369" i="22" s="1"/>
  <c r="J406" i="7"/>
  <c r="K406" i="7" s="1"/>
  <c r="E398" i="7"/>
  <c r="E396" i="7" s="1"/>
  <c r="H28" i="24"/>
  <c r="K93" i="23"/>
  <c r="J92" i="23"/>
  <c r="K92" i="23" s="1"/>
  <c r="G28" i="22"/>
  <c r="G25" i="22" s="1"/>
  <c r="G349" i="22" s="1"/>
  <c r="J72" i="22"/>
  <c r="H25" i="16"/>
  <c r="J114" i="16"/>
  <c r="K114" i="16" s="1"/>
  <c r="J86" i="16"/>
  <c r="K86" i="16" s="1"/>
  <c r="E76" i="16"/>
  <c r="I227" i="9"/>
  <c r="J227" i="9" s="1"/>
  <c r="K227" i="9" s="1"/>
  <c r="J229" i="9"/>
  <c r="K38" i="23"/>
  <c r="J38" i="29"/>
  <c r="I36" i="23"/>
  <c r="I28" i="23" s="1"/>
  <c r="I25" i="23" s="1"/>
  <c r="J208" i="24"/>
  <c r="J38" i="28"/>
  <c r="I36" i="28"/>
  <c r="I28" i="28" s="1"/>
  <c r="I25" i="28" s="1"/>
  <c r="E22" i="26"/>
  <c r="I275" i="22"/>
  <c r="I252" i="22" s="1"/>
  <c r="J282" i="22"/>
  <c r="J271" i="23"/>
  <c r="E434" i="22"/>
  <c r="J434" i="22" s="1"/>
  <c r="K434" i="22" s="1"/>
  <c r="J445" i="22"/>
  <c r="J256" i="7"/>
  <c r="K256" i="7" s="1"/>
  <c r="H254" i="7"/>
  <c r="J254" i="7" s="1"/>
  <c r="K254" i="7" s="1"/>
  <c r="J164" i="9"/>
  <c r="I160" i="9"/>
  <c r="K466" i="26"/>
  <c r="J454" i="26"/>
  <c r="K454" i="26" s="1"/>
  <c r="I36" i="7"/>
  <c r="I28" i="7" s="1"/>
  <c r="I25" i="7" s="1"/>
  <c r="I22" i="7" s="1"/>
  <c r="J38" i="7"/>
  <c r="I291" i="26"/>
  <c r="J293" i="26"/>
  <c r="K293" i="26" s="1"/>
  <c r="J260" i="26"/>
  <c r="K260" i="26" s="1"/>
  <c r="G248" i="18"/>
  <c r="J250" i="18"/>
  <c r="J229" i="16"/>
  <c r="I225" i="16"/>
  <c r="J225" i="16" s="1"/>
  <c r="K225" i="16" s="1"/>
  <c r="E329" i="18"/>
  <c r="J331" i="18"/>
  <c r="K308" i="17"/>
  <c r="J306" i="17"/>
  <c r="K306" i="17" s="1"/>
  <c r="I38" i="24"/>
  <c r="I190" i="24"/>
  <c r="N21" i="45"/>
  <c r="J247" i="17"/>
  <c r="K247" i="17" s="1"/>
  <c r="E170" i="17"/>
  <c r="E146" i="17" s="1"/>
  <c r="E143" i="17" s="1"/>
  <c r="J172" i="17"/>
  <c r="I22" i="28"/>
  <c r="E25" i="22"/>
  <c r="J309" i="24"/>
  <c r="I307" i="24"/>
  <c r="I305" i="24" s="1"/>
  <c r="F291" i="24"/>
  <c r="J293" i="24"/>
  <c r="K293" i="24" s="1"/>
  <c r="J445" i="24"/>
  <c r="F434" i="24"/>
  <c r="J434" i="24" s="1"/>
  <c r="K434" i="24" s="1"/>
  <c r="J391" i="23"/>
  <c r="K391" i="23" s="1"/>
  <c r="E389" i="23"/>
  <c r="K55" i="23"/>
  <c r="J52" i="23"/>
  <c r="K52" i="23" s="1"/>
  <c r="G118" i="23"/>
  <c r="J125" i="23"/>
  <c r="K125" i="23" s="1"/>
  <c r="J209" i="22"/>
  <c r="I208" i="22"/>
  <c r="I165" i="7"/>
  <c r="J167" i="7"/>
  <c r="K56" i="7"/>
  <c r="J53" i="7"/>
  <c r="K53" i="7" s="1"/>
  <c r="K394" i="16"/>
  <c r="J392" i="16"/>
  <c r="G297" i="9"/>
  <c r="G341" i="9" s="1"/>
  <c r="J313" i="9"/>
  <c r="K313" i="9" s="1"/>
  <c r="J308" i="9"/>
  <c r="K308" i="9" s="1"/>
  <c r="F25" i="17"/>
  <c r="F22" i="17" s="1"/>
  <c r="H143" i="17"/>
  <c r="K44" i="17"/>
  <c r="J63" i="24"/>
  <c r="K63" i="24" s="1"/>
  <c r="J436" i="24"/>
  <c r="J195" i="24"/>
  <c r="E193" i="24"/>
  <c r="E190" i="24" s="1"/>
  <c r="J113" i="24"/>
  <c r="K113" i="24" s="1"/>
  <c r="H417" i="23"/>
  <c r="H78" i="7"/>
  <c r="H25" i="7" s="1"/>
  <c r="H22" i="7" s="1"/>
  <c r="G103" i="7"/>
  <c r="J177" i="7"/>
  <c r="K177" i="7" s="1"/>
  <c r="F175" i="7"/>
  <c r="F149" i="7" s="1"/>
  <c r="F25" i="29"/>
  <c r="I28" i="26"/>
  <c r="E190" i="22"/>
  <c r="E349" i="22" s="1"/>
  <c r="J307" i="24"/>
  <c r="K307" i="24" s="1"/>
  <c r="H145" i="9"/>
  <c r="H28" i="22"/>
  <c r="K218" i="22"/>
  <c r="G252" i="23"/>
  <c r="J413" i="23"/>
  <c r="G100" i="22"/>
  <c r="J333" i="26"/>
  <c r="K333" i="26" s="1"/>
  <c r="J89" i="26"/>
  <c r="J75" i="26" s="1"/>
  <c r="K75" i="26" s="1"/>
  <c r="J173" i="18"/>
  <c r="J171" i="18" s="1"/>
  <c r="E171" i="18"/>
  <c r="J132" i="18"/>
  <c r="J31" i="18"/>
  <c r="K31" i="18" s="1"/>
  <c r="J116" i="7"/>
  <c r="K116" i="7" s="1"/>
  <c r="G76" i="16"/>
  <c r="G25" i="16" s="1"/>
  <c r="J405" i="17"/>
  <c r="J46" i="29"/>
  <c r="G268" i="45"/>
  <c r="G325" i="45" s="1"/>
  <c r="J396" i="18"/>
  <c r="J21" i="45"/>
  <c r="J19" i="45" s="1"/>
  <c r="G454" i="24"/>
  <c r="J78" i="24"/>
  <c r="K78" i="24" s="1"/>
  <c r="E252" i="24"/>
  <c r="H367" i="24"/>
  <c r="K410" i="23"/>
  <c r="K312" i="23"/>
  <c r="K248" i="23"/>
  <c r="K32" i="23"/>
  <c r="K405" i="23"/>
  <c r="K298" i="23"/>
  <c r="K145" i="23"/>
  <c r="K468" i="23"/>
  <c r="K396" i="23"/>
  <c r="K79" i="23"/>
  <c r="K126" i="23"/>
  <c r="K394" i="22"/>
  <c r="K406" i="22"/>
  <c r="K262" i="22"/>
  <c r="K65" i="22"/>
  <c r="K43" i="22"/>
  <c r="K458" i="22"/>
  <c r="K382" i="22"/>
  <c r="K302" i="22"/>
  <c r="K242" i="22"/>
  <c r="K106" i="22"/>
  <c r="K59" i="22"/>
  <c r="K89" i="22"/>
  <c r="K266" i="22"/>
  <c r="J113" i="22"/>
  <c r="K113" i="22" s="1"/>
  <c r="K69" i="22"/>
  <c r="K145" i="22"/>
  <c r="E394" i="18"/>
  <c r="E76" i="18"/>
  <c r="E25" i="18" s="1"/>
  <c r="H28" i="18"/>
  <c r="K346" i="18"/>
  <c r="K320" i="18"/>
  <c r="H212" i="7"/>
  <c r="G304" i="16"/>
  <c r="G348" i="16" s="1"/>
  <c r="H383" i="9"/>
  <c r="H297" i="9"/>
  <c r="K312" i="17"/>
  <c r="F100" i="17"/>
  <c r="K210" i="17"/>
  <c r="K250" i="17"/>
  <c r="J109" i="24"/>
  <c r="K109" i="24" s="1"/>
  <c r="J285" i="26"/>
  <c r="G101" i="18"/>
  <c r="J193" i="18"/>
  <c r="E313" i="7"/>
  <c r="I334" i="7"/>
  <c r="I359" i="7" s="1"/>
  <c r="J150" i="16"/>
  <c r="K150" i="16" s="1"/>
  <c r="J456" i="22"/>
  <c r="J131" i="26"/>
  <c r="O21" i="45"/>
  <c r="F25" i="26"/>
  <c r="F22" i="26" s="1"/>
  <c r="H28" i="23"/>
  <c r="J463" i="24"/>
  <c r="F417" i="24"/>
  <c r="J72" i="24"/>
  <c r="J239" i="24"/>
  <c r="K239" i="24" s="1"/>
  <c r="J121" i="24"/>
  <c r="K121" i="24" s="1"/>
  <c r="I282" i="24"/>
  <c r="J282" i="24" s="1"/>
  <c r="E129" i="24"/>
  <c r="K39" i="23"/>
  <c r="K122" i="23"/>
  <c r="K257" i="23"/>
  <c r="K393" i="23"/>
  <c r="F28" i="23"/>
  <c r="J96" i="23"/>
  <c r="K96" i="23" s="1"/>
  <c r="K159" i="23"/>
  <c r="I454" i="23"/>
  <c r="I389" i="23"/>
  <c r="K61" i="22"/>
  <c r="I118" i="22"/>
  <c r="I321" i="26"/>
  <c r="I319" i="26" s="1"/>
  <c r="K96" i="7"/>
  <c r="J124" i="7"/>
  <c r="K124" i="7" s="1"/>
  <c r="E328" i="17"/>
  <c r="K216" i="17"/>
  <c r="K269" i="17"/>
  <c r="K49" i="17"/>
  <c r="K336" i="17"/>
  <c r="K258" i="17"/>
  <c r="K32" i="17"/>
  <c r="K319" i="17"/>
  <c r="K254" i="17"/>
  <c r="I118" i="29"/>
  <c r="H448" i="28"/>
  <c r="F178" i="45"/>
  <c r="M64" i="45"/>
  <c r="J285" i="24"/>
  <c r="K285" i="24" s="1"/>
  <c r="K310" i="24"/>
  <c r="J271" i="24"/>
  <c r="K271" i="24" s="1"/>
  <c r="I367" i="24"/>
  <c r="I417" i="24" s="1"/>
  <c r="G75" i="23"/>
  <c r="J31" i="23"/>
  <c r="K315" i="22"/>
  <c r="K374" i="22"/>
  <c r="E75" i="22"/>
  <c r="J333" i="22"/>
  <c r="K333" i="22" s="1"/>
  <c r="J391" i="22"/>
  <c r="K391" i="22" s="1"/>
  <c r="H118" i="22"/>
  <c r="F321" i="26"/>
  <c r="F319" i="26" s="1"/>
  <c r="I75" i="26"/>
  <c r="H252" i="26"/>
  <c r="J113" i="26"/>
  <c r="E389" i="26"/>
  <c r="J400" i="26"/>
  <c r="F76" i="18"/>
  <c r="F25" i="18" s="1"/>
  <c r="E119" i="18"/>
  <c r="J119" i="18" s="1"/>
  <c r="K119" i="18" s="1"/>
  <c r="J128" i="7"/>
  <c r="K128" i="7" s="1"/>
  <c r="F383" i="9"/>
  <c r="E383" i="9"/>
  <c r="J31" i="9"/>
  <c r="K31" i="9" s="1"/>
  <c r="G118" i="29"/>
  <c r="J118" i="29" s="1"/>
  <c r="K118" i="29" s="1"/>
  <c r="G75" i="29"/>
  <c r="J103" i="29"/>
  <c r="K103" i="29" s="1"/>
  <c r="F383" i="28"/>
  <c r="H227" i="45"/>
  <c r="G77" i="9"/>
  <c r="E148" i="9"/>
  <c r="E145" i="9" s="1"/>
  <c r="J123" i="9"/>
  <c r="K123" i="9" s="1"/>
  <c r="H383" i="29"/>
  <c r="H428" i="29"/>
  <c r="J428" i="29" s="1"/>
  <c r="K428" i="29" s="1"/>
  <c r="H383" i="28"/>
  <c r="H411" i="28" s="1"/>
  <c r="G243" i="28"/>
  <c r="G178" i="28" s="1"/>
  <c r="J125" i="28"/>
  <c r="J89" i="28"/>
  <c r="J391" i="24"/>
  <c r="K391" i="24" s="1"/>
  <c r="E367" i="24"/>
  <c r="I389" i="24"/>
  <c r="J466" i="23"/>
  <c r="K172" i="23"/>
  <c r="J46" i="23"/>
  <c r="K46" i="23" s="1"/>
  <c r="K311" i="22"/>
  <c r="K317" i="22"/>
  <c r="G434" i="22"/>
  <c r="K372" i="22"/>
  <c r="K172" i="22"/>
  <c r="H321" i="22"/>
  <c r="H319" i="22" s="1"/>
  <c r="J408" i="22"/>
  <c r="K408" i="22" s="1"/>
  <c r="E454" i="26"/>
  <c r="K266" i="26"/>
  <c r="F75" i="26"/>
  <c r="G100" i="26"/>
  <c r="J100" i="26" s="1"/>
  <c r="K100" i="26" s="1"/>
  <c r="I118" i="26"/>
  <c r="H434" i="26"/>
  <c r="J434" i="26" s="1"/>
  <c r="K434" i="26" s="1"/>
  <c r="H357" i="18"/>
  <c r="G78" i="7"/>
  <c r="H119" i="16"/>
  <c r="E169" i="16"/>
  <c r="J199" i="9"/>
  <c r="K199" i="9" s="1"/>
  <c r="G28" i="9"/>
  <c r="J336" i="9"/>
  <c r="G118" i="17"/>
  <c r="E306" i="17"/>
  <c r="J109" i="29"/>
  <c r="K109" i="29" s="1"/>
  <c r="E75" i="29"/>
  <c r="E25" i="29" s="1"/>
  <c r="E22" i="29" s="1"/>
  <c r="H448" i="29"/>
  <c r="K248" i="29"/>
  <c r="I75" i="28"/>
  <c r="K353" i="45"/>
  <c r="M102" i="45"/>
  <c r="J285" i="23"/>
  <c r="H75" i="23"/>
  <c r="F75" i="23"/>
  <c r="J255" i="23"/>
  <c r="K255" i="23" s="1"/>
  <c r="H100" i="23"/>
  <c r="K168" i="22"/>
  <c r="K312" i="22"/>
  <c r="K371" i="22"/>
  <c r="J271" i="22"/>
  <c r="J436" i="22"/>
  <c r="J246" i="22"/>
  <c r="K374" i="26"/>
  <c r="I119" i="18"/>
  <c r="J200" i="18"/>
  <c r="K200" i="18" s="1"/>
  <c r="J97" i="18"/>
  <c r="J76" i="18" s="1"/>
  <c r="K76" i="18" s="1"/>
  <c r="H313" i="7"/>
  <c r="H359" i="7" s="1"/>
  <c r="G121" i="7"/>
  <c r="I383" i="9"/>
  <c r="J215" i="9"/>
  <c r="K215" i="9" s="1"/>
  <c r="J111" i="9"/>
  <c r="K111" i="9" s="1"/>
  <c r="J113" i="17"/>
  <c r="K113" i="17" s="1"/>
  <c r="J85" i="17"/>
  <c r="K85" i="17" s="1"/>
  <c r="G28" i="17"/>
  <c r="G25" i="17" s="1"/>
  <c r="J185" i="17"/>
  <c r="K185" i="17" s="1"/>
  <c r="J323" i="17"/>
  <c r="K323" i="17" s="1"/>
  <c r="J96" i="17"/>
  <c r="E361" i="29"/>
  <c r="E411" i="29" s="1"/>
  <c r="J72" i="29"/>
  <c r="K72" i="29" s="1"/>
  <c r="J72" i="28"/>
  <c r="E100" i="28"/>
  <c r="J100" i="28" s="1"/>
  <c r="K100" i="28" s="1"/>
  <c r="G361" i="28"/>
  <c r="G411" i="28" s="1"/>
  <c r="M353" i="45"/>
  <c r="I353" i="45"/>
  <c r="E353" i="45"/>
  <c r="E372" i="45" s="1"/>
  <c r="J334" i="45"/>
  <c r="O268" i="45"/>
  <c r="O325" i="45" s="1"/>
  <c r="I85" i="45"/>
  <c r="O85" i="45"/>
  <c r="O353" i="45"/>
  <c r="J178" i="45"/>
  <c r="F353" i="45"/>
  <c r="F372" i="45" s="1"/>
  <c r="I21" i="45"/>
  <c r="J353" i="45"/>
  <c r="K293" i="45"/>
  <c r="L268" i="45"/>
  <c r="H268" i="45"/>
  <c r="H325" i="45" s="1"/>
  <c r="K227" i="45"/>
  <c r="O227" i="45"/>
  <c r="E142" i="45"/>
  <c r="N293" i="45"/>
  <c r="I293" i="45"/>
  <c r="I325" i="45" s="1"/>
  <c r="E178" i="45"/>
  <c r="O102" i="45"/>
  <c r="K102" i="45"/>
  <c r="E85" i="45"/>
  <c r="J268" i="45"/>
  <c r="J325" i="45" s="1"/>
  <c r="J227" i="45"/>
  <c r="L293" i="45"/>
  <c r="F293" i="45"/>
  <c r="F325" i="45" s="1"/>
  <c r="I178" i="45"/>
  <c r="H178" i="45"/>
  <c r="F102" i="45"/>
  <c r="F85" i="45"/>
  <c r="M227" i="45"/>
  <c r="K72" i="24"/>
  <c r="K85" i="24"/>
  <c r="K309" i="24"/>
  <c r="K98" i="24"/>
  <c r="K90" i="24"/>
  <c r="K256" i="24"/>
  <c r="K49" i="24"/>
  <c r="K123" i="24"/>
  <c r="K230" i="24"/>
  <c r="K375" i="24"/>
  <c r="K381" i="24"/>
  <c r="K392" i="24"/>
  <c r="K379" i="24"/>
  <c r="K411" i="24"/>
  <c r="K409" i="24"/>
  <c r="K72" i="23"/>
  <c r="K261" i="23"/>
  <c r="K262" i="23"/>
  <c r="K377" i="24"/>
  <c r="K371" i="24"/>
  <c r="K317" i="24"/>
  <c r="K315" i="24"/>
  <c r="K312" i="24"/>
  <c r="K311" i="24"/>
  <c r="K286" i="24"/>
  <c r="K266" i="24"/>
  <c r="K264" i="24"/>
  <c r="K262" i="24"/>
  <c r="K64" i="24"/>
  <c r="K382" i="23"/>
  <c r="K237" i="23"/>
  <c r="K82" i="23"/>
  <c r="K37" i="23"/>
  <c r="K106" i="23"/>
  <c r="K285" i="23"/>
  <c r="K271" i="23"/>
  <c r="K113" i="23"/>
  <c r="K297" i="23"/>
  <c r="K314" i="23"/>
  <c r="K204" i="23"/>
  <c r="K289" i="23"/>
  <c r="K287" i="23"/>
  <c r="K97" i="23"/>
  <c r="K90" i="23"/>
  <c r="K49" i="23"/>
  <c r="K64" i="23"/>
  <c r="K69" i="23"/>
  <c r="K104" i="23"/>
  <c r="K107" i="23"/>
  <c r="K243" i="23"/>
  <c r="K375" i="23"/>
  <c r="K408" i="23"/>
  <c r="K470" i="23"/>
  <c r="K58" i="23"/>
  <c r="K72" i="22"/>
  <c r="K269" i="22"/>
  <c r="K298" i="22"/>
  <c r="K289" i="22"/>
  <c r="K287" i="22"/>
  <c r="K204" i="22"/>
  <c r="K73" i="22"/>
  <c r="K39" i="22"/>
  <c r="K90" i="22"/>
  <c r="K81" i="22"/>
  <c r="K159" i="22"/>
  <c r="K165" i="22"/>
  <c r="K385" i="22"/>
  <c r="K66" i="22"/>
  <c r="K67" i="22"/>
  <c r="K127" i="22"/>
  <c r="K398" i="22"/>
  <c r="K400" i="22"/>
  <c r="K402" i="22"/>
  <c r="K410" i="22"/>
  <c r="K459" i="22"/>
  <c r="K460" i="22"/>
  <c r="K179" i="22"/>
  <c r="K58" i="22"/>
  <c r="K56" i="22"/>
  <c r="K257" i="22"/>
  <c r="K258" i="26"/>
  <c r="K263" i="26"/>
  <c r="K264" i="26"/>
  <c r="K289" i="26"/>
  <c r="K287" i="26"/>
  <c r="K303" i="26"/>
  <c r="K301" i="26"/>
  <c r="K53" i="17"/>
  <c r="K344" i="17"/>
  <c r="K403" i="17"/>
  <c r="K190" i="17"/>
  <c r="K186" i="17"/>
  <c r="K194" i="17"/>
  <c r="K222" i="17"/>
  <c r="K255" i="17"/>
  <c r="K349" i="17"/>
  <c r="K105" i="17"/>
  <c r="K96" i="17"/>
  <c r="K92" i="17"/>
  <c r="K90" i="17"/>
  <c r="K86" i="17"/>
  <c r="K79" i="17"/>
  <c r="K70" i="17"/>
  <c r="K69" i="17"/>
  <c r="K67" i="17"/>
  <c r="K65" i="17"/>
  <c r="K59" i="17"/>
  <c r="K56" i="17"/>
  <c r="K55" i="17"/>
  <c r="K50" i="17"/>
  <c r="K48" i="17"/>
  <c r="K42" i="17"/>
  <c r="K302" i="23"/>
  <c r="K300" i="23"/>
  <c r="K288" i="23"/>
  <c r="K286" i="23"/>
  <c r="K87" i="23"/>
  <c r="K266" i="23"/>
  <c r="K264" i="23"/>
  <c r="K60" i="23"/>
  <c r="K57" i="23"/>
  <c r="K246" i="23"/>
  <c r="K66" i="23"/>
  <c r="K68" i="23"/>
  <c r="K235" i="23"/>
  <c r="K242" i="23"/>
  <c r="K380" i="23"/>
  <c r="K397" i="23"/>
  <c r="K403" i="23"/>
  <c r="K176" i="23"/>
  <c r="K313" i="23"/>
  <c r="K469" i="23"/>
  <c r="K271" i="22"/>
  <c r="K273" i="22"/>
  <c r="K303" i="22"/>
  <c r="K301" i="22"/>
  <c r="K299" i="22"/>
  <c r="K286" i="22"/>
  <c r="K216" i="22"/>
  <c r="K195" i="22"/>
  <c r="K82" i="22"/>
  <c r="K265" i="22"/>
  <c r="K57" i="22"/>
  <c r="K32" i="22"/>
  <c r="K246" i="22"/>
  <c r="K70" i="22"/>
  <c r="K123" i="22"/>
  <c r="K126" i="22"/>
  <c r="K235" i="22"/>
  <c r="K237" i="22"/>
  <c r="K230" i="22"/>
  <c r="K392" i="22"/>
  <c r="K397" i="22"/>
  <c r="K461" i="22"/>
  <c r="K314" i="17"/>
  <c r="K331" i="17"/>
  <c r="K334" i="17"/>
  <c r="K337" i="17"/>
  <c r="K342" i="17"/>
  <c r="K398" i="17"/>
  <c r="K151" i="17"/>
  <c r="K159" i="17"/>
  <c r="K189" i="17"/>
  <c r="K187" i="17"/>
  <c r="K200" i="17"/>
  <c r="K217" i="17"/>
  <c r="K259" i="17"/>
  <c r="K254" i="29"/>
  <c r="K255" i="29"/>
  <c r="K256" i="29"/>
  <c r="K257" i="29"/>
  <c r="K259" i="29"/>
  <c r="K264" i="29"/>
  <c r="K280" i="29"/>
  <c r="K283" i="29"/>
  <c r="K289" i="29"/>
  <c r="K364" i="29"/>
  <c r="K370" i="29"/>
  <c r="K369" i="29"/>
  <c r="K374" i="29"/>
  <c r="K379" i="29"/>
  <c r="K386" i="29"/>
  <c r="K388" i="29"/>
  <c r="K390" i="29"/>
  <c r="K392" i="29"/>
  <c r="K400" i="29"/>
  <c r="K31" i="29"/>
  <c r="K125" i="28"/>
  <c r="K72" i="28"/>
  <c r="K89" i="28"/>
  <c r="K38" i="28"/>
  <c r="J36" i="28"/>
  <c r="F22" i="29"/>
  <c r="F285" i="16"/>
  <c r="J38" i="24"/>
  <c r="I36" i="24"/>
  <c r="I28" i="24" s="1"/>
  <c r="I25" i="24" s="1"/>
  <c r="E279" i="9"/>
  <c r="K85" i="23"/>
  <c r="F144" i="16"/>
  <c r="F22" i="7"/>
  <c r="G22" i="26"/>
  <c r="K79" i="18"/>
  <c r="J383" i="29"/>
  <c r="K383" i="29" s="1"/>
  <c r="K385" i="29"/>
  <c r="H187" i="26"/>
  <c r="K78" i="22"/>
  <c r="H25" i="22"/>
  <c r="I357" i="18"/>
  <c r="E28" i="24"/>
  <c r="E25" i="24" s="1"/>
  <c r="H131" i="24"/>
  <c r="H129" i="24" s="1"/>
  <c r="I133" i="24"/>
  <c r="J165" i="24"/>
  <c r="E147" i="24"/>
  <c r="J204" i="24"/>
  <c r="K204" i="24" s="1"/>
  <c r="H193" i="24"/>
  <c r="G100" i="23"/>
  <c r="J109" i="23"/>
  <c r="K109" i="23" s="1"/>
  <c r="J280" i="23"/>
  <c r="I275" i="23"/>
  <c r="I252" i="23" s="1"/>
  <c r="G131" i="23"/>
  <c r="G129" i="23" s="1"/>
  <c r="I133" i="23"/>
  <c r="J436" i="23"/>
  <c r="G434" i="23"/>
  <c r="I282" i="23"/>
  <c r="J282" i="23" s="1"/>
  <c r="E129" i="23"/>
  <c r="G367" i="23"/>
  <c r="G417" i="23" s="1"/>
  <c r="J384" i="23"/>
  <c r="K384" i="23" s="1"/>
  <c r="J239" i="22"/>
  <c r="K239" i="22" s="1"/>
  <c r="K44" i="22"/>
  <c r="J42" i="22"/>
  <c r="K42" i="22" s="1"/>
  <c r="E118" i="22"/>
  <c r="J125" i="22"/>
  <c r="K125" i="22" s="1"/>
  <c r="J246" i="26"/>
  <c r="K246" i="26" s="1"/>
  <c r="G190" i="26"/>
  <c r="G187" i="26" s="1"/>
  <c r="I369" i="26"/>
  <c r="I367" i="26" s="1"/>
  <c r="J377" i="26"/>
  <c r="K377" i="26" s="1"/>
  <c r="G367" i="26"/>
  <c r="G417" i="26" s="1"/>
  <c r="J389" i="26"/>
  <c r="K389" i="26" s="1"/>
  <c r="K189" i="18"/>
  <c r="I356" i="17"/>
  <c r="J46" i="24"/>
  <c r="K46" i="24" s="1"/>
  <c r="F321" i="23"/>
  <c r="F319" i="23" s="1"/>
  <c r="J330" i="23"/>
  <c r="K330" i="23" s="1"/>
  <c r="K466" i="23"/>
  <c r="J454" i="23"/>
  <c r="K454" i="23" s="1"/>
  <c r="E434" i="23"/>
  <c r="J445" i="23"/>
  <c r="K154" i="23"/>
  <c r="J147" i="23"/>
  <c r="K147" i="23" s="1"/>
  <c r="E321" i="22"/>
  <c r="F252" i="22"/>
  <c r="F190" i="22"/>
  <c r="F75" i="22"/>
  <c r="G131" i="22"/>
  <c r="G129" i="22" s="1"/>
  <c r="I133" i="22"/>
  <c r="J121" i="22"/>
  <c r="K121" i="22" s="1"/>
  <c r="G118" i="22"/>
  <c r="G22" i="22" s="1"/>
  <c r="J413" i="22"/>
  <c r="J327" i="26"/>
  <c r="K327" i="26" s="1"/>
  <c r="E321" i="26"/>
  <c r="K47" i="18"/>
  <c r="K315" i="18"/>
  <c r="K410" i="18"/>
  <c r="K321" i="18"/>
  <c r="K268" i="18"/>
  <c r="K257" i="18"/>
  <c r="K245" i="18"/>
  <c r="K227" i="18"/>
  <c r="K160" i="18"/>
  <c r="K123" i="18"/>
  <c r="K99" i="18"/>
  <c r="K68" i="18"/>
  <c r="K53" i="18"/>
  <c r="K32" i="18"/>
  <c r="K67" i="18"/>
  <c r="K87" i="18"/>
  <c r="K88" i="18"/>
  <c r="K91" i="18"/>
  <c r="K54" i="18"/>
  <c r="K314" i="18"/>
  <c r="K409" i="18"/>
  <c r="K350" i="18"/>
  <c r="K344" i="18"/>
  <c r="K338" i="18"/>
  <c r="K334" i="18"/>
  <c r="K312" i="18"/>
  <c r="K97" i="18"/>
  <c r="K259" i="18"/>
  <c r="K243" i="18"/>
  <c r="K219" i="18"/>
  <c r="K211" i="18"/>
  <c r="K196" i="18"/>
  <c r="K184" i="18"/>
  <c r="K83" i="18"/>
  <c r="K66" i="18"/>
  <c r="K55" i="18"/>
  <c r="K43" i="18"/>
  <c r="K331" i="18"/>
  <c r="K173" i="18"/>
  <c r="K342" i="18"/>
  <c r="K332" i="18"/>
  <c r="K270" i="18"/>
  <c r="K201" i="18"/>
  <c r="K137" i="18"/>
  <c r="K70" i="18"/>
  <c r="K48" i="18"/>
  <c r="K309" i="18"/>
  <c r="K94" i="18"/>
  <c r="K64" i="18"/>
  <c r="K336" i="18"/>
  <c r="K216" i="18"/>
  <c r="K106" i="18"/>
  <c r="K313" i="18"/>
  <c r="K310" i="18"/>
  <c r="K188" i="18"/>
  <c r="K190" i="18"/>
  <c r="K195" i="18"/>
  <c r="K197" i="18"/>
  <c r="K198" i="18"/>
  <c r="K202" i="18"/>
  <c r="K210" i="18"/>
  <c r="K212" i="18"/>
  <c r="K215" i="18"/>
  <c r="K217" i="18"/>
  <c r="K221" i="18"/>
  <c r="K223" i="18"/>
  <c r="K246" i="18"/>
  <c r="K251" i="18"/>
  <c r="K252" i="18"/>
  <c r="K253" i="18"/>
  <c r="K260" i="18"/>
  <c r="K266" i="18"/>
  <c r="K271" i="18"/>
  <c r="K272" i="18"/>
  <c r="K273" i="18"/>
  <c r="K274" i="18"/>
  <c r="K325" i="18"/>
  <c r="K333" i="18"/>
  <c r="K335" i="18"/>
  <c r="K337" i="18"/>
  <c r="K341" i="18"/>
  <c r="K343" i="18"/>
  <c r="K345" i="18"/>
  <c r="K349" i="18"/>
  <c r="K351" i="18"/>
  <c r="K398" i="18"/>
  <c r="K399" i="18"/>
  <c r="K401" i="18"/>
  <c r="K412" i="18"/>
  <c r="K340" i="18"/>
  <c r="K322" i="18"/>
  <c r="K132" i="18"/>
  <c r="J130" i="18"/>
  <c r="K130" i="18" s="1"/>
  <c r="K128" i="18"/>
  <c r="J122" i="18"/>
  <c r="K122" i="18" s="1"/>
  <c r="K124" i="18"/>
  <c r="J42" i="18"/>
  <c r="K42" i="18" s="1"/>
  <c r="K44" i="18"/>
  <c r="K40" i="18"/>
  <c r="I38" i="18"/>
  <c r="I147" i="18"/>
  <c r="I144" i="18" s="1"/>
  <c r="K37" i="18"/>
  <c r="G149" i="7"/>
  <c r="F212" i="7"/>
  <c r="F295" i="7" s="1"/>
  <c r="J211" i="16"/>
  <c r="K211" i="16" s="1"/>
  <c r="I210" i="16"/>
  <c r="I202" i="16" s="1"/>
  <c r="J202" i="16" s="1"/>
  <c r="K202" i="16" s="1"/>
  <c r="J134" i="16"/>
  <c r="I132" i="16"/>
  <c r="E161" i="16"/>
  <c r="I38" i="16"/>
  <c r="K57" i="16"/>
  <c r="J52" i="16"/>
  <c r="K52" i="16" s="1"/>
  <c r="K70" i="16"/>
  <c r="J64" i="16"/>
  <c r="K64" i="16" s="1"/>
  <c r="J99" i="16"/>
  <c r="I97" i="16"/>
  <c r="I76" i="16" s="1"/>
  <c r="J166" i="16"/>
  <c r="I162" i="16"/>
  <c r="I167" i="16"/>
  <c r="J167" i="16" s="1"/>
  <c r="K309" i="16"/>
  <c r="J306" i="16"/>
  <c r="J370" i="16"/>
  <c r="K370" i="16" s="1"/>
  <c r="F131" i="9"/>
  <c r="J133" i="9"/>
  <c r="F297" i="9"/>
  <c r="J299" i="9"/>
  <c r="K299" i="9" s="1"/>
  <c r="J118" i="17"/>
  <c r="K118" i="17" s="1"/>
  <c r="J109" i="17"/>
  <c r="K109" i="17" s="1"/>
  <c r="E100" i="17"/>
  <c r="J78" i="17"/>
  <c r="E75" i="17"/>
  <c r="E28" i="17"/>
  <c r="E25" i="17" s="1"/>
  <c r="G285" i="28"/>
  <c r="J285" i="28" s="1"/>
  <c r="K285" i="28" s="1"/>
  <c r="J287" i="28"/>
  <c r="K287" i="28" s="1"/>
  <c r="J327" i="28"/>
  <c r="K327" i="28" s="1"/>
  <c r="J321" i="28"/>
  <c r="K321" i="28" s="1"/>
  <c r="E315" i="28"/>
  <c r="F75" i="28"/>
  <c r="F28" i="28"/>
  <c r="J407" i="28"/>
  <c r="J383" i="28" s="1"/>
  <c r="K383" i="28" s="1"/>
  <c r="K462" i="28"/>
  <c r="K391" i="28"/>
  <c r="K44" i="28"/>
  <c r="K33" i="28"/>
  <c r="K56" i="28"/>
  <c r="K66" i="28"/>
  <c r="K122" i="28"/>
  <c r="K145" i="28"/>
  <c r="K254" i="28"/>
  <c r="K280" i="28"/>
  <c r="K294" i="28"/>
  <c r="K368" i="28"/>
  <c r="K387" i="28"/>
  <c r="K253" i="28"/>
  <c r="K257" i="28"/>
  <c r="K264" i="28"/>
  <c r="K405" i="28"/>
  <c r="K398" i="28"/>
  <c r="K392" i="28"/>
  <c r="K388" i="28"/>
  <c r="K376" i="28"/>
  <c r="K305" i="28"/>
  <c r="K295" i="28"/>
  <c r="K291" i="28"/>
  <c r="K283" i="28"/>
  <c r="K249" i="28"/>
  <c r="K224" i="28"/>
  <c r="K107" i="28"/>
  <c r="K98" i="28"/>
  <c r="K69" i="28"/>
  <c r="K65" i="28"/>
  <c r="K59" i="28"/>
  <c r="K55" i="28"/>
  <c r="K50" i="28"/>
  <c r="K32" i="28"/>
  <c r="K453" i="28"/>
  <c r="K235" i="28"/>
  <c r="K309" i="28"/>
  <c r="K395" i="28"/>
  <c r="K288" i="28"/>
  <c r="K170" i="28"/>
  <c r="K159" i="28"/>
  <c r="K70" i="28"/>
  <c r="K126" i="28"/>
  <c r="K234" i="28"/>
  <c r="K290" i="28"/>
  <c r="K397" i="28"/>
  <c r="K247" i="28"/>
  <c r="K259" i="28"/>
  <c r="K396" i="28"/>
  <c r="K386" i="28"/>
  <c r="K297" i="28"/>
  <c r="K289" i="28"/>
  <c r="K92" i="28"/>
  <c r="K67" i="28"/>
  <c r="K57" i="28"/>
  <c r="K400" i="28"/>
  <c r="K54" i="28"/>
  <c r="K48" i="28"/>
  <c r="K364" i="28"/>
  <c r="K252" i="28"/>
  <c r="K464" i="28"/>
  <c r="K31" i="28"/>
  <c r="K389" i="28"/>
  <c r="K239" i="28"/>
  <c r="K227" i="28"/>
  <c r="K404" i="28"/>
  <c r="K256" i="28"/>
  <c r="K248" i="28"/>
  <c r="K49" i="28"/>
  <c r="K296" i="28"/>
  <c r="K73" i="28"/>
  <c r="K258" i="28"/>
  <c r="K375" i="28"/>
  <c r="K255" i="28"/>
  <c r="K390" i="28"/>
  <c r="K311" i="28"/>
  <c r="K281" i="28"/>
  <c r="K105" i="28"/>
  <c r="K61" i="28"/>
  <c r="K37" i="28"/>
  <c r="K233" i="28"/>
  <c r="K452" i="28"/>
  <c r="K458" i="28"/>
  <c r="J186" i="28"/>
  <c r="K186" i="28" s="1"/>
  <c r="E184" i="28"/>
  <c r="J209" i="28"/>
  <c r="F207" i="28"/>
  <c r="F181" i="28" s="1"/>
  <c r="F178" i="28" s="1"/>
  <c r="K221" i="28"/>
  <c r="K228" i="28"/>
  <c r="K232" i="28"/>
  <c r="K238" i="28"/>
  <c r="J270" i="28"/>
  <c r="I266" i="28"/>
  <c r="K308" i="28"/>
  <c r="K373" i="28"/>
  <c r="K370" i="28"/>
  <c r="K369" i="28"/>
  <c r="K367" i="28"/>
  <c r="K365" i="28"/>
  <c r="J363" i="28"/>
  <c r="K402" i="28"/>
  <c r="E450" i="28"/>
  <c r="J457" i="28"/>
  <c r="K465" i="28"/>
  <c r="K463" i="28"/>
  <c r="K136" i="28"/>
  <c r="K127" i="28"/>
  <c r="K104" i="28"/>
  <c r="J96" i="28"/>
  <c r="K96" i="28" s="1"/>
  <c r="K97" i="28"/>
  <c r="K90" i="28"/>
  <c r="K86" i="28"/>
  <c r="K82" i="28"/>
  <c r="J46" i="28"/>
  <c r="K46" i="28" s="1"/>
  <c r="K47" i="28"/>
  <c r="K43" i="28"/>
  <c r="N268" i="45"/>
  <c r="F142" i="45"/>
  <c r="O142" i="45"/>
  <c r="I142" i="45"/>
  <c r="K250" i="18"/>
  <c r="G190" i="24"/>
  <c r="J206" i="24"/>
  <c r="J305" i="24"/>
  <c r="K305" i="24" s="1"/>
  <c r="F252" i="24"/>
  <c r="F187" i="24" s="1"/>
  <c r="H25" i="24"/>
  <c r="G28" i="24"/>
  <c r="G25" i="24" s="1"/>
  <c r="F75" i="24"/>
  <c r="F25" i="24" s="1"/>
  <c r="J96" i="24"/>
  <c r="K97" i="24"/>
  <c r="G367" i="24"/>
  <c r="G417" i="24" s="1"/>
  <c r="J369" i="24"/>
  <c r="J291" i="24"/>
  <c r="K291" i="24" s="1"/>
  <c r="J52" i="24"/>
  <c r="K52" i="24" s="1"/>
  <c r="K53" i="24"/>
  <c r="H118" i="24"/>
  <c r="E417" i="24"/>
  <c r="J384" i="24"/>
  <c r="K384" i="24" s="1"/>
  <c r="J260" i="23"/>
  <c r="K260" i="23" s="1"/>
  <c r="F252" i="23"/>
  <c r="G321" i="23"/>
  <c r="G319" i="23" s="1"/>
  <c r="E216" i="23"/>
  <c r="E190" i="23" s="1"/>
  <c r="E349" i="23" s="1"/>
  <c r="J218" i="23"/>
  <c r="I369" i="23"/>
  <c r="J377" i="23"/>
  <c r="K377" i="23" s="1"/>
  <c r="E367" i="23"/>
  <c r="E417" i="23" s="1"/>
  <c r="J291" i="23"/>
  <c r="K291" i="23" s="1"/>
  <c r="J389" i="23"/>
  <c r="K389" i="23" s="1"/>
  <c r="J103" i="23"/>
  <c r="K103" i="23" s="1"/>
  <c r="E100" i="23"/>
  <c r="J100" i="23" s="1"/>
  <c r="K100" i="23" s="1"/>
  <c r="H118" i="23"/>
  <c r="J121" i="23"/>
  <c r="K121" i="23" s="1"/>
  <c r="J230" i="23"/>
  <c r="K230" i="23" s="1"/>
  <c r="H216" i="23"/>
  <c r="H190" i="23" s="1"/>
  <c r="J330" i="22"/>
  <c r="K330" i="22" s="1"/>
  <c r="G321" i="22"/>
  <c r="G319" i="22" s="1"/>
  <c r="G187" i="22" s="1"/>
  <c r="J275" i="22"/>
  <c r="K275" i="22" s="1"/>
  <c r="J260" i="22"/>
  <c r="K260" i="22" s="1"/>
  <c r="K37" i="22"/>
  <c r="J92" i="22"/>
  <c r="K92" i="22" s="1"/>
  <c r="K93" i="22"/>
  <c r="E417" i="22"/>
  <c r="E100" i="22"/>
  <c r="J109" i="22"/>
  <c r="K109" i="22" s="1"/>
  <c r="K149" i="26"/>
  <c r="K37" i="26"/>
  <c r="K273" i="26"/>
  <c r="K58" i="26"/>
  <c r="K165" i="26"/>
  <c r="K460" i="26"/>
  <c r="K406" i="26"/>
  <c r="K398" i="26"/>
  <c r="K394" i="26"/>
  <c r="K373" i="26"/>
  <c r="K312" i="26"/>
  <c r="K302" i="26"/>
  <c r="K294" i="26"/>
  <c r="K269" i="26"/>
  <c r="K265" i="26"/>
  <c r="K244" i="26"/>
  <c r="K145" i="26"/>
  <c r="K87" i="26"/>
  <c r="K80" i="26"/>
  <c r="K67" i="26"/>
  <c r="K59" i="26"/>
  <c r="K55" i="26"/>
  <c r="K43" i="26"/>
  <c r="K159" i="26"/>
  <c r="K33" i="26"/>
  <c r="K44" i="26"/>
  <c r="K56" i="26"/>
  <c r="K66" i="26"/>
  <c r="K70" i="26"/>
  <c r="K81" i="26"/>
  <c r="K90" i="26"/>
  <c r="K123" i="26"/>
  <c r="K257" i="26"/>
  <c r="K297" i="26"/>
  <c r="K315" i="26"/>
  <c r="K393" i="26"/>
  <c r="K397" i="26"/>
  <c r="K403" i="26"/>
  <c r="K409" i="26"/>
  <c r="K459" i="26"/>
  <c r="K468" i="26"/>
  <c r="K127" i="26"/>
  <c r="K126" i="26"/>
  <c r="K106" i="26"/>
  <c r="K471" i="26"/>
  <c r="K458" i="26"/>
  <c r="K410" i="26"/>
  <c r="K396" i="26"/>
  <c r="K371" i="26"/>
  <c r="K314" i="26"/>
  <c r="K298" i="26"/>
  <c r="K235" i="26"/>
  <c r="K122" i="26"/>
  <c r="K73" i="26"/>
  <c r="K57" i="26"/>
  <c r="K40" i="26"/>
  <c r="K47" i="26"/>
  <c r="K68" i="26"/>
  <c r="K86" i="26"/>
  <c r="K248" i="26"/>
  <c r="K262" i="26"/>
  <c r="K295" i="26"/>
  <c r="K395" i="26"/>
  <c r="K405" i="26"/>
  <c r="K461" i="26"/>
  <c r="K385" i="26"/>
  <c r="K78" i="26"/>
  <c r="E367" i="26"/>
  <c r="J384" i="26"/>
  <c r="K384" i="26" s="1"/>
  <c r="K168" i="26"/>
  <c r="J147" i="26"/>
  <c r="K147" i="26" s="1"/>
  <c r="K42" i="26"/>
  <c r="J305" i="26"/>
  <c r="K305" i="26" s="1"/>
  <c r="K271" i="26"/>
  <c r="F252" i="26"/>
  <c r="J255" i="26"/>
  <c r="K255" i="26" s="1"/>
  <c r="J275" i="26"/>
  <c r="K275" i="26" s="1"/>
  <c r="K285" i="26"/>
  <c r="I252" i="26"/>
  <c r="K247" i="26"/>
  <c r="J31" i="26"/>
  <c r="K32" i="26"/>
  <c r="K90" i="18"/>
  <c r="G76" i="18"/>
  <c r="G28" i="18"/>
  <c r="K242" i="18"/>
  <c r="E206" i="18"/>
  <c r="J206" i="18" s="1"/>
  <c r="K206" i="18" s="1"/>
  <c r="J110" i="18"/>
  <c r="K110" i="18" s="1"/>
  <c r="E101" i="18"/>
  <c r="H25" i="18"/>
  <c r="F307" i="18"/>
  <c r="J324" i="18"/>
  <c r="K324" i="18" s="1"/>
  <c r="J405" i="7"/>
  <c r="I398" i="7"/>
  <c r="J336" i="7"/>
  <c r="K338" i="7"/>
  <c r="J324" i="7"/>
  <c r="K327" i="7"/>
  <c r="I250" i="7"/>
  <c r="J251" i="7"/>
  <c r="K251" i="7" s="1"/>
  <c r="J99" i="7"/>
  <c r="K100" i="7"/>
  <c r="K50" i="7"/>
  <c r="J46" i="7"/>
  <c r="K46" i="7" s="1"/>
  <c r="J343" i="16"/>
  <c r="J315" i="16"/>
  <c r="K315" i="16" s="1"/>
  <c r="J352" i="17"/>
  <c r="J328" i="17" s="1"/>
  <c r="J129" i="17"/>
  <c r="K129" i="17" s="1"/>
  <c r="K131" i="17"/>
  <c r="J52" i="17"/>
  <c r="K52" i="17" s="1"/>
  <c r="K150" i="29"/>
  <c r="J138" i="29"/>
  <c r="K138" i="29" s="1"/>
  <c r="I315" i="29"/>
  <c r="I313" i="29" s="1"/>
  <c r="H197" i="29"/>
  <c r="J199" i="29"/>
  <c r="G315" i="29"/>
  <c r="G313" i="29" s="1"/>
  <c r="G178" i="29" s="1"/>
  <c r="F243" i="29"/>
  <c r="F178" i="29" s="1"/>
  <c r="J324" i="29"/>
  <c r="K324" i="29" s="1"/>
  <c r="E315" i="29"/>
  <c r="J285" i="29"/>
  <c r="K285" i="29" s="1"/>
  <c r="J279" i="29"/>
  <c r="K279" i="29" s="1"/>
  <c r="E243" i="29"/>
  <c r="J230" i="29"/>
  <c r="K230" i="29" s="1"/>
  <c r="J184" i="29"/>
  <c r="K184" i="29" s="1"/>
  <c r="I75" i="29"/>
  <c r="I25" i="29" s="1"/>
  <c r="J460" i="29"/>
  <c r="J276" i="29"/>
  <c r="I266" i="29"/>
  <c r="K366" i="29"/>
  <c r="J363" i="29"/>
  <c r="J373" i="29"/>
  <c r="K373" i="29" s="1"/>
  <c r="K375" i="29"/>
  <c r="N85" i="45"/>
  <c r="L85" i="45"/>
  <c r="H85" i="45"/>
  <c r="H19" i="45" s="1"/>
  <c r="K279" i="28"/>
  <c r="K171" i="18"/>
  <c r="H417" i="24"/>
  <c r="J466" i="24"/>
  <c r="K237" i="24"/>
  <c r="K145" i="24"/>
  <c r="K104" i="24"/>
  <c r="K67" i="24"/>
  <c r="K48" i="24"/>
  <c r="K33" i="24"/>
  <c r="K56" i="24"/>
  <c r="K79" i="24"/>
  <c r="K149" i="24"/>
  <c r="K248" i="24"/>
  <c r="K263" i="24"/>
  <c r="K269" i="24"/>
  <c r="K298" i="24"/>
  <c r="K302" i="24"/>
  <c r="K316" i="24"/>
  <c r="K372" i="24"/>
  <c r="K404" i="24"/>
  <c r="K410" i="24"/>
  <c r="J330" i="24"/>
  <c r="K330" i="24" s="1"/>
  <c r="K261" i="24"/>
  <c r="K299" i="24"/>
  <c r="K39" i="24"/>
  <c r="K289" i="24"/>
  <c r="K195" i="24"/>
  <c r="K87" i="24"/>
  <c r="K82" i="24"/>
  <c r="J232" i="24"/>
  <c r="K232" i="24" s="1"/>
  <c r="K57" i="24"/>
  <c r="J31" i="24"/>
  <c r="K32" i="24"/>
  <c r="J125" i="24"/>
  <c r="K125" i="24" s="1"/>
  <c r="E118" i="24"/>
  <c r="J118" i="24" s="1"/>
  <c r="K118" i="24" s="1"/>
  <c r="K395" i="24"/>
  <c r="K401" i="24"/>
  <c r="K234" i="24"/>
  <c r="K400" i="24"/>
  <c r="K471" i="24"/>
  <c r="K469" i="24"/>
  <c r="H100" i="24"/>
  <c r="J100" i="24" s="1"/>
  <c r="K100" i="24" s="1"/>
  <c r="J408" i="24"/>
  <c r="K408" i="24" s="1"/>
  <c r="G28" i="23"/>
  <c r="G25" i="23" s="1"/>
  <c r="J89" i="23"/>
  <c r="K89" i="23" s="1"/>
  <c r="G190" i="23"/>
  <c r="G187" i="23" s="1"/>
  <c r="H321" i="23"/>
  <c r="H319" i="23" s="1"/>
  <c r="J322" i="23"/>
  <c r="J309" i="23"/>
  <c r="K309" i="23" s="1"/>
  <c r="I307" i="23"/>
  <c r="H434" i="23"/>
  <c r="J239" i="23"/>
  <c r="K239" i="23" s="1"/>
  <c r="I118" i="23"/>
  <c r="I75" i="22"/>
  <c r="E147" i="22"/>
  <c r="J285" i="22"/>
  <c r="K285" i="22" s="1"/>
  <c r="J255" i="22"/>
  <c r="K255" i="22" s="1"/>
  <c r="J384" i="22"/>
  <c r="K384" i="22" s="1"/>
  <c r="H190" i="22"/>
  <c r="H187" i="22" s="1"/>
  <c r="F28" i="22"/>
  <c r="F25" i="22" s="1"/>
  <c r="F100" i="22"/>
  <c r="J46" i="22"/>
  <c r="K46" i="22" s="1"/>
  <c r="K48" i="22"/>
  <c r="J63" i="22"/>
  <c r="K63" i="22" s="1"/>
  <c r="J379" i="22"/>
  <c r="K89" i="26"/>
  <c r="J72" i="26"/>
  <c r="K72" i="26" s="1"/>
  <c r="K113" i="26"/>
  <c r="J218" i="26"/>
  <c r="E216" i="26"/>
  <c r="E190" i="26" s="1"/>
  <c r="K104" i="26"/>
  <c r="K233" i="26"/>
  <c r="K237" i="26"/>
  <c r="K230" i="26"/>
  <c r="K380" i="26"/>
  <c r="K243" i="26"/>
  <c r="K400" i="26"/>
  <c r="K104" i="18"/>
  <c r="H147" i="18"/>
  <c r="H144" i="18" s="1"/>
  <c r="K193" i="18"/>
  <c r="J162" i="18"/>
  <c r="E147" i="18"/>
  <c r="J262" i="18"/>
  <c r="K262" i="18" s="1"/>
  <c r="F329" i="18"/>
  <c r="J348" i="18"/>
  <c r="K348" i="18" s="1"/>
  <c r="K108" i="18"/>
  <c r="J193" i="7"/>
  <c r="K193" i="7" s="1"/>
  <c r="J200" i="7"/>
  <c r="K200" i="7" s="1"/>
  <c r="J75" i="7"/>
  <c r="K75" i="7" s="1"/>
  <c r="J272" i="7"/>
  <c r="K272" i="7" s="1"/>
  <c r="I270" i="7"/>
  <c r="J191" i="7"/>
  <c r="H175" i="7"/>
  <c r="H149" i="7" s="1"/>
  <c r="J42" i="7"/>
  <c r="K43" i="7"/>
  <c r="F304" i="16"/>
  <c r="F348" i="16" s="1"/>
  <c r="H304" i="16"/>
  <c r="J122" i="16"/>
  <c r="K122" i="16" s="1"/>
  <c r="J46" i="16"/>
  <c r="K46" i="16" s="1"/>
  <c r="K47" i="16"/>
  <c r="H77" i="9"/>
  <c r="H25" i="9" s="1"/>
  <c r="J91" i="9"/>
  <c r="K91" i="9" s="1"/>
  <c r="E102" i="9"/>
  <c r="J105" i="9"/>
  <c r="K105" i="9" s="1"/>
  <c r="J192" i="9"/>
  <c r="K192" i="9" s="1"/>
  <c r="F191" i="9"/>
  <c r="F148" i="9" s="1"/>
  <c r="K95" i="9"/>
  <c r="J94" i="9"/>
  <c r="K94" i="9" s="1"/>
  <c r="I205" i="17"/>
  <c r="I143" i="17" s="1"/>
  <c r="G161" i="17"/>
  <c r="J163" i="17"/>
  <c r="F205" i="17"/>
  <c r="J213" i="17"/>
  <c r="K213" i="17" s="1"/>
  <c r="J208" i="17"/>
  <c r="K208" i="17" s="1"/>
  <c r="F146" i="17"/>
  <c r="H306" i="17"/>
  <c r="J31" i="17"/>
  <c r="K33" i="17"/>
  <c r="K458" i="29"/>
  <c r="K404" i="29"/>
  <c r="K398" i="29"/>
  <c r="K387" i="29"/>
  <c r="K376" i="29"/>
  <c r="K295" i="29"/>
  <c r="K291" i="29"/>
  <c r="K247" i="29"/>
  <c r="K226" i="29"/>
  <c r="K59" i="29"/>
  <c r="K47" i="29"/>
  <c r="K466" i="29"/>
  <c r="K465" i="29"/>
  <c r="K464" i="29"/>
  <c r="K463" i="29"/>
  <c r="K462" i="29"/>
  <c r="K455" i="29"/>
  <c r="K452" i="29"/>
  <c r="K368" i="29"/>
  <c r="K292" i="29"/>
  <c r="K235" i="29"/>
  <c r="K234" i="29"/>
  <c r="K233" i="29"/>
  <c r="K228" i="29"/>
  <c r="K227" i="29"/>
  <c r="K43" i="29"/>
  <c r="K40" i="29"/>
  <c r="K454" i="29"/>
  <c r="K399" i="29"/>
  <c r="K293" i="29"/>
  <c r="K140" i="29"/>
  <c r="K86" i="29"/>
  <c r="K49" i="29"/>
  <c r="K44" i="29"/>
  <c r="K46" i="29"/>
  <c r="K48" i="29"/>
  <c r="K50" i="29"/>
  <c r="K53" i="29"/>
  <c r="K56" i="29"/>
  <c r="K58" i="29"/>
  <c r="K60" i="29"/>
  <c r="K61" i="29"/>
  <c r="J63" i="29"/>
  <c r="K63" i="29" s="1"/>
  <c r="K64" i="29"/>
  <c r="K66" i="29"/>
  <c r="K68" i="29"/>
  <c r="K69" i="29"/>
  <c r="K70" i="29"/>
  <c r="K73" i="29"/>
  <c r="K79" i="29"/>
  <c r="K80" i="29"/>
  <c r="K82" i="29"/>
  <c r="K87" i="29"/>
  <c r="K90" i="29"/>
  <c r="K98" i="29"/>
  <c r="K104" i="29"/>
  <c r="K105" i="29"/>
  <c r="K106" i="29"/>
  <c r="K107" i="29"/>
  <c r="K126" i="29"/>
  <c r="K127" i="29"/>
  <c r="J134" i="29"/>
  <c r="J131" i="29" s="1"/>
  <c r="I131" i="29"/>
  <c r="I129" i="29" s="1"/>
  <c r="K136" i="29"/>
  <c r="K224" i="29"/>
  <c r="K294" i="29"/>
  <c r="K296" i="29"/>
  <c r="K297" i="29"/>
  <c r="K305" i="29"/>
  <c r="K307" i="29"/>
  <c r="K309" i="29"/>
  <c r="K311" i="29"/>
  <c r="K140" i="28"/>
  <c r="K163" i="28"/>
  <c r="E383" i="28"/>
  <c r="E411" i="28" s="1"/>
  <c r="H353" i="45"/>
  <c r="H372" i="45" s="1"/>
  <c r="K268" i="45"/>
  <c r="K325" i="45" s="1"/>
  <c r="M178" i="45"/>
  <c r="N102" i="45"/>
  <c r="H75" i="26"/>
  <c r="H25" i="26" s="1"/>
  <c r="J291" i="26"/>
  <c r="K291" i="26" s="1"/>
  <c r="E252" i="26"/>
  <c r="F190" i="26"/>
  <c r="K309" i="26"/>
  <c r="K261" i="26"/>
  <c r="K195" i="26"/>
  <c r="J232" i="26"/>
  <c r="K232" i="26" s="1"/>
  <c r="K300" i="26"/>
  <c r="J436" i="26"/>
  <c r="K375" i="26"/>
  <c r="K392" i="26"/>
  <c r="I101" i="18"/>
  <c r="J248" i="18"/>
  <c r="K248" i="18" s="1"/>
  <c r="J126" i="18"/>
  <c r="K126" i="18" s="1"/>
  <c r="G147" i="18"/>
  <c r="G144" i="18" s="1"/>
  <c r="K311" i="18"/>
  <c r="K152" i="18"/>
  <c r="K187" i="18"/>
  <c r="K218" i="18"/>
  <c r="K220" i="18"/>
  <c r="K404" i="18"/>
  <c r="G307" i="18"/>
  <c r="G357" i="18" s="1"/>
  <c r="E307" i="18"/>
  <c r="E357" i="18" s="1"/>
  <c r="J376" i="18"/>
  <c r="K107" i="18"/>
  <c r="K81" i="18"/>
  <c r="K60" i="18"/>
  <c r="K56" i="18"/>
  <c r="E334" i="7"/>
  <c r="E359" i="7" s="1"/>
  <c r="F334" i="7"/>
  <c r="F359" i="7" s="1"/>
  <c r="J207" i="7"/>
  <c r="K207" i="7" s="1"/>
  <c r="G28" i="7"/>
  <c r="G25" i="7" s="1"/>
  <c r="E121" i="7"/>
  <c r="J121" i="7" s="1"/>
  <c r="K121" i="7" s="1"/>
  <c r="E103" i="7"/>
  <c r="J329" i="7"/>
  <c r="K329" i="7" s="1"/>
  <c r="J65" i="7"/>
  <c r="K65" i="7" s="1"/>
  <c r="F390" i="16"/>
  <c r="H390" i="16"/>
  <c r="J210" i="16"/>
  <c r="K210" i="16" s="1"/>
  <c r="J197" i="16"/>
  <c r="K197" i="16" s="1"/>
  <c r="I119" i="16"/>
  <c r="F119" i="16"/>
  <c r="J119" i="16" s="1"/>
  <c r="K119" i="16" s="1"/>
  <c r="E28" i="16"/>
  <c r="E25" i="16" s="1"/>
  <c r="H325" i="16"/>
  <c r="J159" i="16"/>
  <c r="K159" i="16" s="1"/>
  <c r="H182" i="16"/>
  <c r="H233" i="16"/>
  <c r="J233" i="16" s="1"/>
  <c r="K233" i="16" s="1"/>
  <c r="H120" i="9"/>
  <c r="J120" i="9" s="1"/>
  <c r="K120" i="9" s="1"/>
  <c r="H102" i="9"/>
  <c r="H318" i="9"/>
  <c r="H341" i="9" s="1"/>
  <c r="G148" i="9"/>
  <c r="J185" i="9"/>
  <c r="K185" i="9" s="1"/>
  <c r="F318" i="9"/>
  <c r="J191" i="9"/>
  <c r="K191" i="9" s="1"/>
  <c r="E297" i="9"/>
  <c r="J205" i="9"/>
  <c r="K205" i="9" s="1"/>
  <c r="I204" i="9"/>
  <c r="G100" i="17"/>
  <c r="G22" i="17" s="1"/>
  <c r="I118" i="17"/>
  <c r="I22" i="17" s="1"/>
  <c r="J241" i="17"/>
  <c r="K241" i="17" s="1"/>
  <c r="F328" i="17"/>
  <c r="F356" i="17" s="1"/>
  <c r="G373" i="17"/>
  <c r="E393" i="17"/>
  <c r="K156" i="29"/>
  <c r="K163" i="29"/>
  <c r="K170" i="29"/>
  <c r="F361" i="29"/>
  <c r="F411" i="29" s="1"/>
  <c r="H361" i="29"/>
  <c r="H315" i="29"/>
  <c r="H313" i="29" s="1"/>
  <c r="J262" i="29"/>
  <c r="K262" i="29" s="1"/>
  <c r="G28" i="29"/>
  <c r="G25" i="29" s="1"/>
  <c r="K113" i="29"/>
  <c r="K37" i="29"/>
  <c r="K55" i="29"/>
  <c r="K57" i="29"/>
  <c r="K65" i="29"/>
  <c r="K81" i="29"/>
  <c r="K186" i="29"/>
  <c r="K225" i="29"/>
  <c r="K258" i="29"/>
  <c r="K260" i="29"/>
  <c r="K195" i="29"/>
  <c r="K221" i="29"/>
  <c r="K282" i="29"/>
  <c r="K288" i="29"/>
  <c r="K290" i="29"/>
  <c r="K304" i="29"/>
  <c r="K306" i="29"/>
  <c r="K308" i="29"/>
  <c r="K310" i="29"/>
  <c r="K371" i="29"/>
  <c r="K389" i="29"/>
  <c r="K397" i="29"/>
  <c r="K403" i="29"/>
  <c r="J430" i="29"/>
  <c r="K453" i="29"/>
  <c r="K33" i="29"/>
  <c r="F361" i="28"/>
  <c r="F411" i="28" s="1"/>
  <c r="G315" i="28"/>
  <c r="G313" i="28" s="1"/>
  <c r="J251" i="28"/>
  <c r="K251" i="28" s="1"/>
  <c r="H118" i="28"/>
  <c r="H22" i="28" s="1"/>
  <c r="J78" i="28"/>
  <c r="E28" i="28"/>
  <c r="E25" i="28" s="1"/>
  <c r="J378" i="28"/>
  <c r="K378" i="28" s="1"/>
  <c r="K225" i="28"/>
  <c r="K399" i="28"/>
  <c r="K79" i="28"/>
  <c r="K40" i="28"/>
  <c r="I227" i="45"/>
  <c r="O178" i="45"/>
  <c r="F227" i="45"/>
  <c r="H142" i="45"/>
  <c r="G142" i="45"/>
  <c r="G140" i="45" s="1"/>
  <c r="O372" i="45" l="1"/>
  <c r="K372" i="45"/>
  <c r="I372" i="45"/>
  <c r="L19" i="45"/>
  <c r="L256" i="45" s="1"/>
  <c r="M372" i="45"/>
  <c r="M325" i="45"/>
  <c r="J372" i="45"/>
  <c r="M21" i="45"/>
  <c r="K140" i="45"/>
  <c r="K376" i="45" s="1"/>
  <c r="K380" i="45" s="1"/>
  <c r="E19" i="45"/>
  <c r="O19" i="45"/>
  <c r="E140" i="45"/>
  <c r="E256" i="45" s="1"/>
  <c r="N325" i="45"/>
  <c r="N372" i="45"/>
  <c r="K19" i="45"/>
  <c r="K256" i="45" s="1"/>
  <c r="J140" i="45"/>
  <c r="J376" i="45" s="1"/>
  <c r="J380" i="45" s="1"/>
  <c r="I19" i="45"/>
  <c r="F22" i="18"/>
  <c r="F289" i="18"/>
  <c r="J36" i="17"/>
  <c r="K36" i="17" s="1"/>
  <c r="K38" i="17"/>
  <c r="H140" i="45"/>
  <c r="H256" i="45" s="1"/>
  <c r="H22" i="23"/>
  <c r="K456" i="22"/>
  <c r="J454" i="22"/>
  <c r="K454" i="22" s="1"/>
  <c r="K405" i="17"/>
  <c r="J393" i="17"/>
  <c r="K393" i="17" s="1"/>
  <c r="I275" i="24"/>
  <c r="J390" i="16"/>
  <c r="K390" i="16" s="1"/>
  <c r="K392" i="16"/>
  <c r="I206" i="22"/>
  <c r="J208" i="22"/>
  <c r="H22" i="16"/>
  <c r="J252" i="22"/>
  <c r="K252" i="22" s="1"/>
  <c r="J129" i="26"/>
  <c r="K129" i="26" s="1"/>
  <c r="K131" i="26"/>
  <c r="F187" i="26"/>
  <c r="F338" i="26" s="1"/>
  <c r="F339" i="26" s="1"/>
  <c r="J205" i="17"/>
  <c r="K205" i="17" s="1"/>
  <c r="J389" i="22"/>
  <c r="K389" i="22" s="1"/>
  <c r="K336" i="9"/>
  <c r="J318" i="9"/>
  <c r="K318" i="9" s="1"/>
  <c r="F25" i="23"/>
  <c r="F22" i="23" s="1"/>
  <c r="H25" i="23"/>
  <c r="G22" i="16"/>
  <c r="G285" i="16"/>
  <c r="I25" i="26"/>
  <c r="I22" i="26" s="1"/>
  <c r="I219" i="9"/>
  <c r="J219" i="9" s="1"/>
  <c r="K219" i="9" s="1"/>
  <c r="H283" i="17"/>
  <c r="H277" i="17"/>
  <c r="H278" i="17" s="1"/>
  <c r="F19" i="45"/>
  <c r="J28" i="23"/>
  <c r="K28" i="23" s="1"/>
  <c r="J394" i="18"/>
  <c r="K394" i="18" s="1"/>
  <c r="K396" i="18"/>
  <c r="G343" i="28"/>
  <c r="J36" i="7"/>
  <c r="K36" i="7" s="1"/>
  <c r="K38" i="7"/>
  <c r="K31" i="23"/>
  <c r="E187" i="24"/>
  <c r="J170" i="17"/>
  <c r="K170" i="17" s="1"/>
  <c r="K172" i="17"/>
  <c r="J160" i="9"/>
  <c r="I148" i="9"/>
  <c r="K38" i="29"/>
  <c r="J36" i="29"/>
  <c r="K36" i="29" s="1"/>
  <c r="G25" i="9"/>
  <c r="G22" i="9" s="1"/>
  <c r="J28" i="9"/>
  <c r="K28" i="9" s="1"/>
  <c r="J252" i="26"/>
  <c r="K252" i="26" s="1"/>
  <c r="J275" i="23"/>
  <c r="K275" i="23" s="1"/>
  <c r="E356" i="17"/>
  <c r="J165" i="7"/>
  <c r="I149" i="7"/>
  <c r="J260" i="45"/>
  <c r="L325" i="45"/>
  <c r="H469" i="28"/>
  <c r="H471" i="28" s="1"/>
  <c r="H332" i="28"/>
  <c r="H333" i="28" s="1"/>
  <c r="H338" i="28"/>
  <c r="I277" i="17"/>
  <c r="I414" i="17"/>
  <c r="I283" i="17"/>
  <c r="H279" i="9"/>
  <c r="H22" i="9"/>
  <c r="J25" i="9"/>
  <c r="H260" i="45"/>
  <c r="I22" i="29"/>
  <c r="J22" i="29" s="1"/>
  <c r="K131" i="29"/>
  <c r="J129" i="29"/>
  <c r="K129" i="29" s="1"/>
  <c r="H356" i="17"/>
  <c r="H414" i="17"/>
  <c r="G146" i="17"/>
  <c r="J161" i="17"/>
  <c r="J148" i="9"/>
  <c r="K148" i="9" s="1"/>
  <c r="F145" i="9"/>
  <c r="F279" i="9"/>
  <c r="K42" i="7"/>
  <c r="K191" i="7"/>
  <c r="J175" i="7"/>
  <c r="K175" i="7" s="1"/>
  <c r="J147" i="18"/>
  <c r="K147" i="18" s="1"/>
  <c r="E144" i="18"/>
  <c r="J144" i="18" s="1"/>
  <c r="K144" i="18" s="1"/>
  <c r="E289" i="18"/>
  <c r="J190" i="26"/>
  <c r="K190" i="26" s="1"/>
  <c r="E349" i="26"/>
  <c r="K379" i="22"/>
  <c r="J367" i="22"/>
  <c r="G349" i="23"/>
  <c r="G22" i="23"/>
  <c r="K31" i="24"/>
  <c r="G332" i="28"/>
  <c r="G333" i="28" s="1"/>
  <c r="G338" i="28"/>
  <c r="G469" i="28"/>
  <c r="G471" i="28" s="1"/>
  <c r="E22" i="28"/>
  <c r="G22" i="29"/>
  <c r="G343" i="29"/>
  <c r="I196" i="9"/>
  <c r="J204" i="9"/>
  <c r="K204" i="9" s="1"/>
  <c r="E341" i="9"/>
  <c r="J297" i="9"/>
  <c r="G145" i="9"/>
  <c r="G279" i="9"/>
  <c r="E22" i="16"/>
  <c r="M140" i="45"/>
  <c r="K31" i="17"/>
  <c r="J28" i="17"/>
  <c r="F143" i="17"/>
  <c r="F288" i="17"/>
  <c r="J146" i="17"/>
  <c r="K146" i="17" s="1"/>
  <c r="J102" i="9"/>
  <c r="K102" i="9" s="1"/>
  <c r="E22" i="9"/>
  <c r="H348" i="16"/>
  <c r="H146" i="7"/>
  <c r="H295" i="7"/>
  <c r="I268" i="7"/>
  <c r="J268" i="7" s="1"/>
  <c r="K268" i="7" s="1"/>
  <c r="J270" i="7"/>
  <c r="K270" i="7" s="1"/>
  <c r="K218" i="26"/>
  <c r="J216" i="26"/>
  <c r="K216" i="26" s="1"/>
  <c r="F22" i="22"/>
  <c r="F349" i="22"/>
  <c r="I305" i="23"/>
  <c r="J305" i="23" s="1"/>
  <c r="K305" i="23" s="1"/>
  <c r="J307" i="23"/>
  <c r="K307" i="23" s="1"/>
  <c r="K466" i="24"/>
  <c r="J454" i="24"/>
  <c r="K454" i="24" s="1"/>
  <c r="J361" i="29"/>
  <c r="K363" i="29"/>
  <c r="I243" i="29"/>
  <c r="I178" i="29" s="1"/>
  <c r="J266" i="29"/>
  <c r="K266" i="29" s="1"/>
  <c r="K460" i="29"/>
  <c r="J448" i="29"/>
  <c r="K448" i="29" s="1"/>
  <c r="E313" i="29"/>
  <c r="J313" i="29" s="1"/>
  <c r="K313" i="29" s="1"/>
  <c r="J315" i="29"/>
  <c r="K315" i="29" s="1"/>
  <c r="K328" i="17"/>
  <c r="J356" i="17"/>
  <c r="K343" i="16"/>
  <c r="J325" i="16"/>
  <c r="K325" i="16" s="1"/>
  <c r="K99" i="7"/>
  <c r="J78" i="7"/>
  <c r="K78" i="7" s="1"/>
  <c r="J250" i="7"/>
  <c r="K250" i="7" s="1"/>
  <c r="I249" i="7"/>
  <c r="K324" i="7"/>
  <c r="J313" i="7"/>
  <c r="J334" i="7"/>
  <c r="K334" i="7" s="1"/>
  <c r="K336" i="7"/>
  <c r="H289" i="18"/>
  <c r="H22" i="18"/>
  <c r="E417" i="26"/>
  <c r="K218" i="23"/>
  <c r="J216" i="23"/>
  <c r="K216" i="23" s="1"/>
  <c r="H187" i="23"/>
  <c r="H338" i="23" s="1"/>
  <c r="H339" i="23" s="1"/>
  <c r="H349" i="23"/>
  <c r="J252" i="23"/>
  <c r="K252" i="23" s="1"/>
  <c r="J367" i="24"/>
  <c r="K369" i="24"/>
  <c r="F22" i="24"/>
  <c r="F349" i="24"/>
  <c r="G187" i="24"/>
  <c r="F140" i="45"/>
  <c r="J266" i="28"/>
  <c r="K266" i="28" s="1"/>
  <c r="I243" i="28"/>
  <c r="J184" i="28"/>
  <c r="K184" i="28" s="1"/>
  <c r="E181" i="28"/>
  <c r="E343" i="28" s="1"/>
  <c r="E22" i="17"/>
  <c r="E288" i="17"/>
  <c r="K78" i="17"/>
  <c r="J75" i="17"/>
  <c r="K75" i="17" s="1"/>
  <c r="J162" i="16"/>
  <c r="I161" i="16"/>
  <c r="I147" i="16" s="1"/>
  <c r="I144" i="16" s="1"/>
  <c r="J38" i="16"/>
  <c r="I36" i="16"/>
  <c r="I28" i="16" s="1"/>
  <c r="I25" i="16" s="1"/>
  <c r="I130" i="16"/>
  <c r="J130" i="16" s="1"/>
  <c r="J132" i="16"/>
  <c r="G146" i="7"/>
  <c r="J149" i="7"/>
  <c r="K149" i="7" s="1"/>
  <c r="J38" i="18"/>
  <c r="I36" i="18"/>
  <c r="I28" i="18" s="1"/>
  <c r="I25" i="18" s="1"/>
  <c r="J329" i="18"/>
  <c r="K329" i="18" s="1"/>
  <c r="G475" i="22"/>
  <c r="G477" i="22" s="1"/>
  <c r="G338" i="22"/>
  <c r="G339" i="22" s="1"/>
  <c r="G344" i="22"/>
  <c r="I131" i="22"/>
  <c r="I129" i="22" s="1"/>
  <c r="J133" i="22"/>
  <c r="J131" i="22" s="1"/>
  <c r="I417" i="26"/>
  <c r="J118" i="22"/>
  <c r="K118" i="22" s="1"/>
  <c r="I131" i="23"/>
  <c r="I129" i="23" s="1"/>
  <c r="I22" i="23" s="1"/>
  <c r="J133" i="23"/>
  <c r="J131" i="23" s="1"/>
  <c r="H190" i="24"/>
  <c r="H187" i="24" s="1"/>
  <c r="J193" i="24"/>
  <c r="K193" i="24" s="1"/>
  <c r="J133" i="24"/>
  <c r="J131" i="24" s="1"/>
  <c r="I131" i="24"/>
  <c r="I129" i="24" s="1"/>
  <c r="I22" i="24" s="1"/>
  <c r="E22" i="24"/>
  <c r="E349" i="24"/>
  <c r="J77" i="9"/>
  <c r="K77" i="9" s="1"/>
  <c r="J118" i="28"/>
  <c r="K118" i="28" s="1"/>
  <c r="J75" i="22"/>
  <c r="K75" i="22" s="1"/>
  <c r="J118" i="23"/>
  <c r="K118" i="23" s="1"/>
  <c r="F349" i="26"/>
  <c r="J321" i="23"/>
  <c r="K321" i="23" s="1"/>
  <c r="G349" i="26"/>
  <c r="J75" i="23"/>
  <c r="F475" i="26"/>
  <c r="F477" i="26" s="1"/>
  <c r="N19" i="45"/>
  <c r="F343" i="29"/>
  <c r="K78" i="28"/>
  <c r="J75" i="28"/>
  <c r="K75" i="28" s="1"/>
  <c r="H411" i="29"/>
  <c r="J373" i="17"/>
  <c r="K373" i="17" s="1"/>
  <c r="J182" i="16"/>
  <c r="H169" i="16"/>
  <c r="H147" i="16" s="1"/>
  <c r="J103" i="7"/>
  <c r="K103" i="7" s="1"/>
  <c r="E22" i="7"/>
  <c r="G22" i="7"/>
  <c r="G295" i="7"/>
  <c r="H22" i="26"/>
  <c r="H349" i="26"/>
  <c r="E178" i="29"/>
  <c r="E343" i="29"/>
  <c r="J197" i="29"/>
  <c r="H181" i="29"/>
  <c r="I396" i="7"/>
  <c r="J398" i="7"/>
  <c r="F357" i="18"/>
  <c r="F417" i="18" s="1"/>
  <c r="F415" i="18"/>
  <c r="E22" i="18"/>
  <c r="J101" i="18"/>
  <c r="K101" i="18" s="1"/>
  <c r="G25" i="18"/>
  <c r="K31" i="26"/>
  <c r="J28" i="26"/>
  <c r="I187" i="26"/>
  <c r="I349" i="26"/>
  <c r="J100" i="22"/>
  <c r="K100" i="22" s="1"/>
  <c r="E22" i="22"/>
  <c r="I367" i="23"/>
  <c r="I417" i="23" s="1"/>
  <c r="J369" i="23"/>
  <c r="E187" i="23"/>
  <c r="J190" i="23"/>
  <c r="K190" i="23" s="1"/>
  <c r="K96" i="24"/>
  <c r="J75" i="24"/>
  <c r="K75" i="24" s="1"/>
  <c r="G22" i="24"/>
  <c r="G349" i="24"/>
  <c r="H22" i="24"/>
  <c r="I140" i="45"/>
  <c r="O140" i="45"/>
  <c r="E448" i="28"/>
  <c r="J450" i="28"/>
  <c r="J361" i="28"/>
  <c r="K363" i="28"/>
  <c r="J207" i="28"/>
  <c r="K207" i="28" s="1"/>
  <c r="K209" i="28"/>
  <c r="F25" i="28"/>
  <c r="E313" i="28"/>
  <c r="J313" i="28" s="1"/>
  <c r="K313" i="28" s="1"/>
  <c r="J315" i="28"/>
  <c r="K315" i="28" s="1"/>
  <c r="J100" i="17"/>
  <c r="K100" i="17" s="1"/>
  <c r="F341" i="9"/>
  <c r="J131" i="9"/>
  <c r="F22" i="9"/>
  <c r="K306" i="16"/>
  <c r="J304" i="16"/>
  <c r="K99" i="16"/>
  <c r="J97" i="16"/>
  <c r="E147" i="16"/>
  <c r="E285" i="16" s="1"/>
  <c r="J321" i="26"/>
  <c r="K321" i="26" s="1"/>
  <c r="E319" i="26"/>
  <c r="J319" i="26" s="1"/>
  <c r="K319" i="26" s="1"/>
  <c r="F187" i="22"/>
  <c r="J321" i="22"/>
  <c r="K321" i="22" s="1"/>
  <c r="E319" i="22"/>
  <c r="J434" i="23"/>
  <c r="K434" i="23" s="1"/>
  <c r="J319" i="23"/>
  <c r="K319" i="23" s="1"/>
  <c r="J389" i="24"/>
  <c r="K389" i="24" s="1"/>
  <c r="I416" i="17"/>
  <c r="J369" i="26"/>
  <c r="J147" i="24"/>
  <c r="K147" i="24" s="1"/>
  <c r="K165" i="24"/>
  <c r="H349" i="22"/>
  <c r="H22" i="22"/>
  <c r="F146" i="7"/>
  <c r="F284" i="7" s="1"/>
  <c r="F285" i="7" s="1"/>
  <c r="G256" i="45"/>
  <c r="G260" i="45"/>
  <c r="G376" i="45"/>
  <c r="G380" i="45" s="1"/>
  <c r="G475" i="26"/>
  <c r="G477" i="26" s="1"/>
  <c r="G338" i="26"/>
  <c r="G339" i="26" s="1"/>
  <c r="G344" i="26"/>
  <c r="J22" i="26"/>
  <c r="J307" i="18"/>
  <c r="F290" i="7"/>
  <c r="E22" i="23"/>
  <c r="F187" i="23"/>
  <c r="J36" i="24"/>
  <c r="K36" i="24" s="1"/>
  <c r="K38" i="24"/>
  <c r="F344" i="26"/>
  <c r="F22" i="16"/>
  <c r="F469" i="29"/>
  <c r="F471" i="29" s="1"/>
  <c r="F332" i="29"/>
  <c r="F333" i="29" s="1"/>
  <c r="F338" i="29"/>
  <c r="J28" i="29"/>
  <c r="K36" i="28"/>
  <c r="J28" i="28"/>
  <c r="I288" i="17"/>
  <c r="I349" i="23"/>
  <c r="L376" i="45" l="1"/>
  <c r="L380" i="45" s="1"/>
  <c r="K260" i="45"/>
  <c r="L260" i="45"/>
  <c r="H376" i="45"/>
  <c r="H380" i="45" s="1"/>
  <c r="J256" i="45"/>
  <c r="E260" i="45"/>
  <c r="E376" i="45"/>
  <c r="E380" i="45" s="1"/>
  <c r="M19" i="45"/>
  <c r="I256" i="45"/>
  <c r="F417" i="7"/>
  <c r="F419" i="7" s="1"/>
  <c r="H349" i="24"/>
  <c r="J243" i="29"/>
  <c r="K243" i="29" s="1"/>
  <c r="F349" i="23"/>
  <c r="H416" i="17"/>
  <c r="J206" i="22"/>
  <c r="I190" i="22"/>
  <c r="I38" i="22"/>
  <c r="G410" i="16"/>
  <c r="G412" i="16" s="1"/>
  <c r="G280" i="16"/>
  <c r="G274" i="16"/>
  <c r="G353" i="16" s="1"/>
  <c r="J161" i="16"/>
  <c r="J28" i="7"/>
  <c r="I252" i="24"/>
  <c r="J275" i="24"/>
  <c r="K275" i="24" s="1"/>
  <c r="F284" i="18"/>
  <c r="F278" i="18"/>
  <c r="F279" i="18" s="1"/>
  <c r="H144" i="16"/>
  <c r="H285" i="16"/>
  <c r="N376" i="45"/>
  <c r="N380" i="45" s="1"/>
  <c r="N260" i="45"/>
  <c r="N256" i="45"/>
  <c r="E338" i="24"/>
  <c r="E339" i="24" s="1"/>
  <c r="E475" i="24"/>
  <c r="E477" i="24" s="1"/>
  <c r="E344" i="24"/>
  <c r="J22" i="24"/>
  <c r="J129" i="24"/>
  <c r="K129" i="24" s="1"/>
  <c r="K131" i="24"/>
  <c r="K131" i="23"/>
  <c r="J129" i="23"/>
  <c r="K129" i="23" s="1"/>
  <c r="I376" i="45"/>
  <c r="I380" i="45" s="1"/>
  <c r="I260" i="45"/>
  <c r="K38" i="18"/>
  <c r="J36" i="18"/>
  <c r="J36" i="16"/>
  <c r="K38" i="16"/>
  <c r="E277" i="17"/>
  <c r="E278" i="17" s="1"/>
  <c r="E414" i="17"/>
  <c r="E416" i="17" s="1"/>
  <c r="E283" i="17"/>
  <c r="J22" i="17"/>
  <c r="J190" i="24"/>
  <c r="K190" i="24" s="1"/>
  <c r="K361" i="29"/>
  <c r="J411" i="29"/>
  <c r="M256" i="45"/>
  <c r="M376" i="45"/>
  <c r="M260" i="45"/>
  <c r="F475" i="22"/>
  <c r="F477" i="22" s="1"/>
  <c r="F338" i="22"/>
  <c r="F339" i="22" s="1"/>
  <c r="F344" i="22"/>
  <c r="H290" i="7"/>
  <c r="H417" i="7"/>
  <c r="H419" i="7" s="1"/>
  <c r="H284" i="7"/>
  <c r="H285" i="7" s="1"/>
  <c r="E402" i="9"/>
  <c r="E268" i="9"/>
  <c r="E346" i="9" s="1"/>
  <c r="E274" i="9"/>
  <c r="J22" i="9"/>
  <c r="F283" i="17"/>
  <c r="F277" i="17"/>
  <c r="F278" i="17" s="1"/>
  <c r="F414" i="17"/>
  <c r="F416" i="17" s="1"/>
  <c r="G268" i="9"/>
  <c r="G346" i="9" s="1"/>
  <c r="G402" i="9"/>
  <c r="G404" i="9" s="1"/>
  <c r="G274" i="9"/>
  <c r="E404" i="9"/>
  <c r="I145" i="9"/>
  <c r="J196" i="9"/>
  <c r="K196" i="9" s="1"/>
  <c r="I279" i="9"/>
  <c r="J28" i="24"/>
  <c r="G338" i="23"/>
  <c r="G339" i="23" s="1"/>
  <c r="G475" i="23"/>
  <c r="G477" i="23" s="1"/>
  <c r="G344" i="23"/>
  <c r="G143" i="17"/>
  <c r="G288" i="17"/>
  <c r="H344" i="23"/>
  <c r="H475" i="23"/>
  <c r="H477" i="23" s="1"/>
  <c r="I338" i="29"/>
  <c r="I469" i="29"/>
  <c r="I471" i="29" s="1"/>
  <c r="I332" i="29"/>
  <c r="J279" i="9"/>
  <c r="K279" i="9" s="1"/>
  <c r="K25" i="9"/>
  <c r="K28" i="28"/>
  <c r="J25" i="28"/>
  <c r="K28" i="29"/>
  <c r="J25" i="29"/>
  <c r="K22" i="29"/>
  <c r="F280" i="16"/>
  <c r="F274" i="16"/>
  <c r="F353" i="16" s="1"/>
  <c r="F410" i="16"/>
  <c r="F412" i="16" s="1"/>
  <c r="E344" i="23"/>
  <c r="E338" i="23"/>
  <c r="E339" i="23" s="1"/>
  <c r="E475" i="23"/>
  <c r="E477" i="23" s="1"/>
  <c r="J22" i="23"/>
  <c r="K22" i="26"/>
  <c r="K369" i="26"/>
  <c r="J367" i="26"/>
  <c r="E144" i="16"/>
  <c r="E274" i="16" s="1"/>
  <c r="J147" i="16"/>
  <c r="K147" i="16" s="1"/>
  <c r="K450" i="28"/>
  <c r="J448" i="28"/>
  <c r="K448" i="28" s="1"/>
  <c r="G338" i="24"/>
  <c r="G339" i="24" s="1"/>
  <c r="G475" i="24"/>
  <c r="G477" i="24" s="1"/>
  <c r="G344" i="24"/>
  <c r="K28" i="26"/>
  <c r="J25" i="26"/>
  <c r="G22" i="18"/>
  <c r="G289" i="18"/>
  <c r="E415" i="18"/>
  <c r="E417" i="18" s="1"/>
  <c r="E278" i="18"/>
  <c r="E279" i="18" s="1"/>
  <c r="E284" i="18"/>
  <c r="J22" i="7"/>
  <c r="E417" i="7"/>
  <c r="E419" i="7" s="1"/>
  <c r="E290" i="7"/>
  <c r="E284" i="7"/>
  <c r="E285" i="7" s="1"/>
  <c r="F475" i="23"/>
  <c r="F477" i="23" s="1"/>
  <c r="F344" i="23"/>
  <c r="F338" i="23"/>
  <c r="F339" i="23" s="1"/>
  <c r="K307" i="18"/>
  <c r="J357" i="18"/>
  <c r="H475" i="22"/>
  <c r="H477" i="22" s="1"/>
  <c r="H338" i="22"/>
  <c r="H339" i="22" s="1"/>
  <c r="H344" i="22"/>
  <c r="J319" i="22"/>
  <c r="K319" i="22" s="1"/>
  <c r="E187" i="22"/>
  <c r="J76" i="16"/>
  <c r="K76" i="16" s="1"/>
  <c r="K97" i="16"/>
  <c r="K304" i="16"/>
  <c r="J348" i="16"/>
  <c r="F268" i="9"/>
  <c r="F346" i="9" s="1"/>
  <c r="F274" i="9"/>
  <c r="F402" i="9"/>
  <c r="F404" i="9" s="1"/>
  <c r="F22" i="28"/>
  <c r="J22" i="28" s="1"/>
  <c r="F343" i="28"/>
  <c r="K361" i="28"/>
  <c r="J411" i="28"/>
  <c r="O260" i="45"/>
  <c r="O376" i="45"/>
  <c r="O380" i="45" s="1"/>
  <c r="O256" i="45"/>
  <c r="H338" i="24"/>
  <c r="H339" i="24" s="1"/>
  <c r="H344" i="24"/>
  <c r="H475" i="24"/>
  <c r="H477" i="24" s="1"/>
  <c r="K369" i="23"/>
  <c r="J367" i="23"/>
  <c r="I344" i="26"/>
  <c r="I338" i="26"/>
  <c r="J396" i="7"/>
  <c r="K396" i="7" s="1"/>
  <c r="K398" i="7"/>
  <c r="H343" i="29"/>
  <c r="H178" i="29"/>
  <c r="J178" i="29" s="1"/>
  <c r="K178" i="29" s="1"/>
  <c r="J181" i="29"/>
  <c r="K181" i="29" s="1"/>
  <c r="E469" i="29"/>
  <c r="E471" i="29" s="1"/>
  <c r="E332" i="29"/>
  <c r="E333" i="29" s="1"/>
  <c r="E338" i="29"/>
  <c r="H338" i="26"/>
  <c r="H339" i="26" s="1"/>
  <c r="H475" i="26"/>
  <c r="H477" i="26" s="1"/>
  <c r="H344" i="26"/>
  <c r="G284" i="7"/>
  <c r="G285" i="7" s="1"/>
  <c r="G290" i="7"/>
  <c r="G417" i="7"/>
  <c r="G419" i="7" s="1"/>
  <c r="K182" i="16"/>
  <c r="J169" i="16"/>
  <c r="K169" i="16" s="1"/>
  <c r="K75" i="23"/>
  <c r="J25" i="23"/>
  <c r="I187" i="23"/>
  <c r="I338" i="23" s="1"/>
  <c r="I475" i="26"/>
  <c r="I477" i="26" s="1"/>
  <c r="J129" i="22"/>
  <c r="K129" i="22" s="1"/>
  <c r="K131" i="22"/>
  <c r="I22" i="18"/>
  <c r="I289" i="18"/>
  <c r="I22" i="16"/>
  <c r="I285" i="16"/>
  <c r="J181" i="28"/>
  <c r="K181" i="28" s="1"/>
  <c r="E178" i="28"/>
  <c r="I178" i="28"/>
  <c r="J243" i="28"/>
  <c r="K243" i="28" s="1"/>
  <c r="I343" i="28"/>
  <c r="F376" i="45"/>
  <c r="F380" i="45" s="1"/>
  <c r="F260" i="45"/>
  <c r="F256" i="45"/>
  <c r="F338" i="24"/>
  <c r="F339" i="24" s="1"/>
  <c r="F344" i="24"/>
  <c r="F475" i="24"/>
  <c r="F477" i="24" s="1"/>
  <c r="K367" i="24"/>
  <c r="J417" i="24"/>
  <c r="H278" i="18"/>
  <c r="H279" i="18" s="1"/>
  <c r="H415" i="18"/>
  <c r="H417" i="18" s="1"/>
  <c r="H284" i="18"/>
  <c r="K313" i="7"/>
  <c r="J359" i="7"/>
  <c r="I248" i="7"/>
  <c r="J249" i="7"/>
  <c r="K249" i="7" s="1"/>
  <c r="K356" i="17"/>
  <c r="K28" i="17"/>
  <c r="J25" i="17"/>
  <c r="E280" i="16"/>
  <c r="J22" i="16"/>
  <c r="K297" i="9"/>
  <c r="J341" i="9"/>
  <c r="G469" i="29"/>
  <c r="G471" i="29" s="1"/>
  <c r="G332" i="29"/>
  <c r="G333" i="29" s="1"/>
  <c r="G338" i="29"/>
  <c r="E332" i="28"/>
  <c r="E333" i="28" s="1"/>
  <c r="E338" i="28"/>
  <c r="E469" i="28"/>
  <c r="E471" i="28" s="1"/>
  <c r="K367" i="22"/>
  <c r="J417" i="22"/>
  <c r="E187" i="26"/>
  <c r="K28" i="7"/>
  <c r="J25" i="7"/>
  <c r="J145" i="9"/>
  <c r="K145" i="9" s="1"/>
  <c r="I343" i="29"/>
  <c r="H274" i="9"/>
  <c r="H268" i="9"/>
  <c r="H346" i="9" s="1"/>
  <c r="H402" i="9"/>
  <c r="H404" i="9" s="1"/>
  <c r="I36" i="22" l="1"/>
  <c r="I28" i="22" s="1"/>
  <c r="I25" i="22" s="1"/>
  <c r="J38" i="22"/>
  <c r="I349" i="24"/>
  <c r="J252" i="24"/>
  <c r="K252" i="24" s="1"/>
  <c r="I187" i="24"/>
  <c r="I187" i="22"/>
  <c r="J187" i="22" s="1"/>
  <c r="K187" i="22" s="1"/>
  <c r="J190" i="22"/>
  <c r="K190" i="22" s="1"/>
  <c r="E410" i="16"/>
  <c r="E412" i="16" s="1"/>
  <c r="E338" i="26"/>
  <c r="E339" i="26" s="1"/>
  <c r="J187" i="26"/>
  <c r="E344" i="26"/>
  <c r="E475" i="26"/>
  <c r="E477" i="26" s="1"/>
  <c r="K22" i="16"/>
  <c r="K25" i="17"/>
  <c r="J288" i="17"/>
  <c r="K288" i="17" s="1"/>
  <c r="J248" i="7"/>
  <c r="K248" i="7" s="1"/>
  <c r="I212" i="7"/>
  <c r="K417" i="24"/>
  <c r="I338" i="28"/>
  <c r="I332" i="28"/>
  <c r="I469" i="28"/>
  <c r="I471" i="28" s="1"/>
  <c r="I410" i="16"/>
  <c r="I412" i="16" s="1"/>
  <c r="I274" i="16"/>
  <c r="I353" i="16" s="1"/>
  <c r="I280" i="16"/>
  <c r="I284" i="18"/>
  <c r="I278" i="18"/>
  <c r="I415" i="18"/>
  <c r="I417" i="18" s="1"/>
  <c r="K411" i="28"/>
  <c r="K348" i="16"/>
  <c r="K357" i="18"/>
  <c r="G415" i="18"/>
  <c r="G417" i="18" s="1"/>
  <c r="G284" i="18"/>
  <c r="G278" i="18"/>
  <c r="G279" i="18" s="1"/>
  <c r="E344" i="22"/>
  <c r="J187" i="23"/>
  <c r="K187" i="23" s="1"/>
  <c r="E145" i="16"/>
  <c r="J144" i="16"/>
  <c r="K144" i="16" s="1"/>
  <c r="J475" i="23"/>
  <c r="K475" i="23" s="1"/>
  <c r="K22" i="23"/>
  <c r="J469" i="29"/>
  <c r="K469" i="29" s="1"/>
  <c r="J338" i="29"/>
  <c r="K338" i="29" s="1"/>
  <c r="G414" i="17"/>
  <c r="G416" i="17" s="1"/>
  <c r="G277" i="17"/>
  <c r="G278" i="17" s="1"/>
  <c r="G283" i="17"/>
  <c r="K28" i="24"/>
  <c r="J25" i="24"/>
  <c r="J143" i="17"/>
  <c r="K143" i="17" s="1"/>
  <c r="J402" i="9"/>
  <c r="K402" i="9" s="1"/>
  <c r="J274" i="9"/>
  <c r="K274" i="9" s="1"/>
  <c r="K22" i="9"/>
  <c r="J268" i="9"/>
  <c r="M380" i="45"/>
  <c r="K22" i="17"/>
  <c r="J283" i="17"/>
  <c r="K283" i="17" s="1"/>
  <c r="J414" i="17"/>
  <c r="K36" i="18"/>
  <c r="J28" i="18"/>
  <c r="H280" i="16"/>
  <c r="H274" i="16"/>
  <c r="H353" i="16" s="1"/>
  <c r="H410" i="16"/>
  <c r="H412" i="16" s="1"/>
  <c r="I344" i="23"/>
  <c r="I475" i="23"/>
  <c r="I477" i="23" s="1"/>
  <c r="K25" i="7"/>
  <c r="K417" i="22"/>
  <c r="J469" i="28"/>
  <c r="K469" i="28" s="1"/>
  <c r="K22" i="28"/>
  <c r="K341" i="9"/>
  <c r="E353" i="16"/>
  <c r="J354" i="16" s="1"/>
  <c r="J275" i="16"/>
  <c r="K359" i="7"/>
  <c r="J178" i="28"/>
  <c r="K178" i="28" s="1"/>
  <c r="J349" i="23"/>
  <c r="K349" i="23" s="1"/>
  <c r="K25" i="23"/>
  <c r="H332" i="29"/>
  <c r="H333" i="29" s="1"/>
  <c r="H338" i="29"/>
  <c r="H469" i="29"/>
  <c r="H471" i="29" s="1"/>
  <c r="K367" i="23"/>
  <c r="J417" i="23"/>
  <c r="F332" i="28"/>
  <c r="F333" i="28" s="1"/>
  <c r="F338" i="28"/>
  <c r="F469" i="28"/>
  <c r="F471" i="28" s="1"/>
  <c r="K22" i="7"/>
  <c r="J22" i="18"/>
  <c r="J349" i="26"/>
  <c r="K349" i="26" s="1"/>
  <c r="K25" i="26"/>
  <c r="E338" i="22"/>
  <c r="E339" i="22" s="1"/>
  <c r="E475" i="22"/>
  <c r="E477" i="22" s="1"/>
  <c r="J417" i="26"/>
  <c r="K367" i="26"/>
  <c r="J332" i="29"/>
  <c r="K332" i="29" s="1"/>
  <c r="K25" i="29"/>
  <c r="J343" i="29"/>
  <c r="K343" i="29" s="1"/>
  <c r="J343" i="28"/>
  <c r="K343" i="28" s="1"/>
  <c r="K25" i="28"/>
  <c r="I268" i="9"/>
  <c r="I346" i="9" s="1"/>
  <c r="I402" i="9"/>
  <c r="I404" i="9" s="1"/>
  <c r="I274" i="9"/>
  <c r="K411" i="29"/>
  <c r="J471" i="29"/>
  <c r="K471" i="29" s="1"/>
  <c r="K36" i="16"/>
  <c r="J28" i="16"/>
  <c r="K22" i="24"/>
  <c r="J277" i="17" l="1"/>
  <c r="K277" i="17" s="1"/>
  <c r="J344" i="23"/>
  <c r="K344" i="23" s="1"/>
  <c r="K38" i="22"/>
  <c r="J36" i="22"/>
  <c r="I349" i="22"/>
  <c r="I22" i="22"/>
  <c r="J404" i="9"/>
  <c r="K404" i="9" s="1"/>
  <c r="I475" i="24"/>
  <c r="I477" i="24" s="1"/>
  <c r="I344" i="24"/>
  <c r="I338" i="24"/>
  <c r="J187" i="24"/>
  <c r="J338" i="23"/>
  <c r="K338" i="23" s="1"/>
  <c r="K22" i="18"/>
  <c r="J284" i="18"/>
  <c r="K284" i="18" s="1"/>
  <c r="J278" i="18"/>
  <c r="K278" i="18" s="1"/>
  <c r="J415" i="18"/>
  <c r="J25" i="18"/>
  <c r="K28" i="18"/>
  <c r="K414" i="17"/>
  <c r="J416" i="17"/>
  <c r="K416" i="17" s="1"/>
  <c r="J349" i="24"/>
  <c r="K349" i="24" s="1"/>
  <c r="K25" i="24"/>
  <c r="J410" i="16"/>
  <c r="J274" i="16"/>
  <c r="K187" i="26"/>
  <c r="J344" i="26"/>
  <c r="K344" i="26" s="1"/>
  <c r="J338" i="26"/>
  <c r="K338" i="26" s="1"/>
  <c r="J475" i="26"/>
  <c r="K475" i="26" s="1"/>
  <c r="K28" i="16"/>
  <c r="J25" i="16"/>
  <c r="K417" i="26"/>
  <c r="K417" i="23"/>
  <c r="J477" i="23"/>
  <c r="K477" i="23" s="1"/>
  <c r="J332" i="28"/>
  <c r="K332" i="28" s="1"/>
  <c r="J338" i="28"/>
  <c r="K338" i="28" s="1"/>
  <c r="J346" i="9"/>
  <c r="K346" i="9" s="1"/>
  <c r="K268" i="9"/>
  <c r="J471" i="28"/>
  <c r="K471" i="28" s="1"/>
  <c r="I295" i="7"/>
  <c r="I146" i="7"/>
  <c r="J212" i="7"/>
  <c r="J280" i="16"/>
  <c r="K280" i="16" s="1"/>
  <c r="J22" i="22" l="1"/>
  <c r="I344" i="22"/>
  <c r="I338" i="22"/>
  <c r="I475" i="22"/>
  <c r="I477" i="22" s="1"/>
  <c r="K187" i="24"/>
  <c r="J344" i="24"/>
  <c r="K344" i="24" s="1"/>
  <c r="J475" i="24"/>
  <c r="J338" i="24"/>
  <c r="K338" i="24" s="1"/>
  <c r="J28" i="22"/>
  <c r="K36" i="22"/>
  <c r="K212" i="7"/>
  <c r="J295" i="7"/>
  <c r="K295" i="7" s="1"/>
  <c r="K25" i="16"/>
  <c r="J285" i="16"/>
  <c r="K285" i="16" s="1"/>
  <c r="J353" i="16"/>
  <c r="K353" i="16" s="1"/>
  <c r="K274" i="16"/>
  <c r="K25" i="18"/>
  <c r="J289" i="18"/>
  <c r="K289" i="18" s="1"/>
  <c r="I290" i="7"/>
  <c r="I284" i="7"/>
  <c r="I417" i="7"/>
  <c r="I419" i="7" s="1"/>
  <c r="J146" i="7"/>
  <c r="J147" i="7" s="1"/>
  <c r="J477" i="26"/>
  <c r="K477" i="26" s="1"/>
  <c r="K410" i="16"/>
  <c r="J412" i="16"/>
  <c r="K412" i="16" s="1"/>
  <c r="K415" i="18"/>
  <c r="J417" i="18"/>
  <c r="K417" i="18" s="1"/>
  <c r="J25" i="22" l="1"/>
  <c r="K28" i="22"/>
  <c r="K475" i="24"/>
  <c r="J477" i="24"/>
  <c r="K477" i="24" s="1"/>
  <c r="J344" i="22"/>
  <c r="K344" i="22" s="1"/>
  <c r="K22" i="22"/>
  <c r="J338" i="22"/>
  <c r="K338" i="22" s="1"/>
  <c r="J475" i="22"/>
  <c r="K146" i="7"/>
  <c r="J290" i="7"/>
  <c r="K290" i="7" s="1"/>
  <c r="J417" i="7"/>
  <c r="J284" i="7"/>
  <c r="K284" i="7" s="1"/>
  <c r="K475" i="22" l="1"/>
  <c r="J477" i="22"/>
  <c r="K477" i="22" s="1"/>
  <c r="K25" i="22"/>
  <c r="J349" i="22"/>
  <c r="K349" i="22" s="1"/>
  <c r="K417" i="7"/>
  <c r="J419" i="7"/>
  <c r="K4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15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14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52" authorId="0" shapeId="0" xr:uid="{00000000-0006-0000-08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MF15007</author>
  </authors>
  <commentList>
    <comment ref="I252" authorId="0" shapeId="0" xr:uid="{00000000-0006-0000-0A00-000001000000}">
      <text>
        <r>
          <rPr>
            <b/>
            <sz val="8"/>
            <color indexed="81"/>
            <rFont val="Tahoma"/>
            <family val="2"/>
            <charset val="238"/>
          </rPr>
          <t>MF15007:</t>
        </r>
        <r>
          <rPr>
            <sz val="8"/>
            <color indexed="81"/>
            <rFont val="Tahoma"/>
            <family val="2"/>
            <charset val="238"/>
          </rPr>
          <t xml:space="preserve">
</t>
        </r>
        <r>
          <rPr>
            <sz val="14"/>
            <color indexed="81"/>
            <rFont val="Tahoma"/>
            <family val="2"/>
          </rPr>
          <t>dodaj na roke</t>
        </r>
      </text>
    </comment>
  </commentList>
</comments>
</file>

<file path=xl/sharedStrings.xml><?xml version="1.0" encoding="utf-8"?>
<sst xmlns="http://schemas.openxmlformats.org/spreadsheetml/2006/main" count="7962" uniqueCount="1046">
  <si>
    <t xml:space="preserve">TRANSFERI NEPROFITNIM ORGANIZACIJAM </t>
  </si>
  <si>
    <t>TRANSFERS TO NON-PROFIT</t>
  </si>
  <si>
    <t>IN USTANOVAM</t>
  </si>
  <si>
    <t>ORGANIZATIONS</t>
  </si>
  <si>
    <t>Tekoči transferi neprofitnim organizac. in ustanovam</t>
  </si>
  <si>
    <t>Current transfers to non-profit organizations</t>
  </si>
  <si>
    <t xml:space="preserve">DRUGI TEKOČI DOMAČI TRANSFERI </t>
  </si>
  <si>
    <t>OTHER CURRENT DOMESTIC TRANSFERS</t>
  </si>
  <si>
    <t>Tekoči transferi drugim ravnem države</t>
  </si>
  <si>
    <t>Current transfers to other levels of Government</t>
  </si>
  <si>
    <t>Tekoči transferi v sklade socialnega zavarovanja</t>
  </si>
  <si>
    <t>(KONSOLIDIRANE BILANCE DRŽAVNEGA PRORAČUNA, PRORAČUNOV OBČIN, POKOJNINSKO-INVALIDSKEGA TER OBVEZNEGA ZDRAVSTVENEGA  ZAVAROVANJA)</t>
  </si>
  <si>
    <t>REPUBLIKA SLOVENIJA</t>
  </si>
  <si>
    <t>MINISTRSTVO ZA FINANCE</t>
  </si>
  <si>
    <t>Current transfers to Social security Funds</t>
  </si>
  <si>
    <t>Tekoči transferi v druge javne sklade in agencije</t>
  </si>
  <si>
    <t>Current transfers to other extra-budgetary Funds</t>
  </si>
  <si>
    <t>Tekoči transferi v javne zavode in javne gosp.službe</t>
  </si>
  <si>
    <t>Current transfers to other government institutions</t>
  </si>
  <si>
    <t xml:space="preserve"> - Sredstva za plače in druge izdatke zaposlenim </t>
  </si>
  <si>
    <t>-  Salaries, wages and other personnel expenditure</t>
  </si>
  <si>
    <t xml:space="preserve"> - Prispevki delodajalcev </t>
  </si>
  <si>
    <t>-  Social security contributions</t>
  </si>
  <si>
    <t xml:space="preserve"> - Izdatki za blago in storitve </t>
  </si>
  <si>
    <t>-  Purchases of goods and services</t>
  </si>
  <si>
    <t>TEKOČI TRANSFERI V TUJINO</t>
  </si>
  <si>
    <t>CURRENT TRANSFERS ABROAD</t>
  </si>
  <si>
    <t>Tekoči transferi mednarodnim institucijam</t>
  </si>
  <si>
    <t>Current transferes to international institutions</t>
  </si>
  <si>
    <t>Tekoči transferi tujim vladam in vladnim institucijam</t>
  </si>
  <si>
    <t>Current transferes to foreign Governments</t>
  </si>
  <si>
    <t>Tekoči transferi neprofitnim organizacijam v tujini</t>
  </si>
  <si>
    <t>Current transferes to non-profit institutions abroad</t>
  </si>
  <si>
    <t>Drugi tekoči transferi v tujino</t>
  </si>
  <si>
    <t>Other current transfers abroad</t>
  </si>
  <si>
    <t xml:space="preserve">INVESTICIJSKI ODHODKI </t>
  </si>
  <si>
    <t>CAPITAL EXPENDITURE</t>
  </si>
  <si>
    <t>NAKUP IN GRADNJA OSNOVNIH SREDSTEV</t>
  </si>
  <si>
    <t>ACQUISITION OF CAPITAL ASSETS</t>
  </si>
  <si>
    <t>Nakup zgradb in prostorov</t>
  </si>
  <si>
    <t>Purchases of buildings and other constructions</t>
  </si>
  <si>
    <t>Nakup prevoznih sredstev</t>
  </si>
  <si>
    <t>Purchases of vehicles</t>
  </si>
  <si>
    <t>Nakup opreme</t>
  </si>
  <si>
    <t>Purchases of equipment</t>
  </si>
  <si>
    <t>Nakup drugih osnovnih sredstev</t>
  </si>
  <si>
    <t>Purchases of other other fixed assets</t>
  </si>
  <si>
    <t>Novogradnje, rekonstrukcije in adaptacije</t>
  </si>
  <si>
    <t>Construction works and improvements</t>
  </si>
  <si>
    <t>Investicijsko vzdrževanje in obnove</t>
  </si>
  <si>
    <t>Substantial maintenance</t>
  </si>
  <si>
    <t>Nakup zemljišč in naravnih bogastev</t>
  </si>
  <si>
    <t>Purchases of land and natural assets</t>
  </si>
  <si>
    <t>Nakup nematerialnega premoženja</t>
  </si>
  <si>
    <t>Purchases of intengible assets</t>
  </si>
  <si>
    <t>Študije izvedljivosti projektov in projektna dokument.</t>
  </si>
  <si>
    <t>Feasibility studies and project preparation</t>
  </si>
  <si>
    <t>Nakup blagovnih rezerv in intervencijskih zalog</t>
  </si>
  <si>
    <t>Acquisition of strategic and intervention stocks</t>
  </si>
  <si>
    <t>INVESTICIJSKI TRANSFERI</t>
  </si>
  <si>
    <t>CAPITAL TRANSFERS</t>
  </si>
  <si>
    <t xml:space="preserve">INVESTICIJSKI TRANSFERI </t>
  </si>
  <si>
    <t>Investicijski transferi drugim ravnem države</t>
  </si>
  <si>
    <t>Tekoči transferi v javne zavode - za izdatke za blago in storitve</t>
  </si>
  <si>
    <t>Capital transfers to other levels of Government</t>
  </si>
  <si>
    <t>Kapitalski transferi javnim skladom in agencijam</t>
  </si>
  <si>
    <t>Capital transfers to extra-budgetary Funds</t>
  </si>
  <si>
    <t xml:space="preserve">Investicijski transferi neprofitnim organizacijam </t>
  </si>
  <si>
    <t>Capital transfers to non-profit organitations</t>
  </si>
  <si>
    <t>Investicijski transferi javnim podjetjem (vključno DARS)</t>
  </si>
  <si>
    <t>Capital transfers to public enterprises</t>
  </si>
  <si>
    <t>Kapitalski transferi finančnim institucijam</t>
  </si>
  <si>
    <t>Capital transfers to financial institutions</t>
  </si>
  <si>
    <t>Investicijski transferi privatnim podjetjem in zasebnikom</t>
  </si>
  <si>
    <t>Capital transfers to private enterprises</t>
  </si>
  <si>
    <t xml:space="preserve">Investicijski transferi posameznikom </t>
  </si>
  <si>
    <t>Capital transfers to individuals</t>
  </si>
  <si>
    <t>Investicijski transferi javnim zavodom in javn.gosp.službam</t>
  </si>
  <si>
    <t>Capital transfers to other government institutions</t>
  </si>
  <si>
    <t>Investicijski transferi v tujino</t>
  </si>
  <si>
    <t>RAČUN FINANČNIH TERJATEV IN NALOŽB</t>
  </si>
  <si>
    <t>RAČUN FINANCIRANJA</t>
  </si>
  <si>
    <t>Capital transfers abroad</t>
  </si>
  <si>
    <t>III.</t>
  </si>
  <si>
    <t>PRORAČUNSKI PRESEŽEK</t>
  </si>
  <si>
    <t>BUDGET SURPLUS</t>
  </si>
  <si>
    <t xml:space="preserve">(PRORAČUNSKI PRIMANJKLJAJ)   </t>
  </si>
  <si>
    <t xml:space="preserve">(BUDGET DEFICIT)   </t>
  </si>
  <si>
    <t xml:space="preserve"> (I. - II.)</t>
  </si>
  <si>
    <t>( TOTAL REVENUES MINUS TOTAL EXPENDITURE)</t>
  </si>
  <si>
    <t>III.A</t>
  </si>
  <si>
    <t>PRIMARNI PRESEŽEK</t>
  </si>
  <si>
    <t>PRIMARY SURPLUS</t>
  </si>
  <si>
    <t xml:space="preserve">(PRIMANJKLJAJ)   </t>
  </si>
  <si>
    <t xml:space="preserve">(DEFICIT)   </t>
  </si>
  <si>
    <t xml:space="preserve"> (I. - 7102) - (II.-403-404)</t>
  </si>
  <si>
    <t>III.B</t>
  </si>
  <si>
    <t>TEKOČI  PRESEŽEK</t>
  </si>
  <si>
    <t>CURRENT SURPLUS</t>
  </si>
  <si>
    <t xml:space="preserve"> (70 + 71) - (40+41)</t>
  </si>
  <si>
    <t>IV.</t>
  </si>
  <si>
    <t>RECEIPTS FROM PRIVATISATION</t>
  </si>
  <si>
    <t>Sredstva kupnin iz naslova privatizacije podjetij</t>
  </si>
  <si>
    <t>Receipts from privatisation of enterprises</t>
  </si>
  <si>
    <t>V.</t>
  </si>
  <si>
    <t xml:space="preserve">DANA POSOJILA IN POVEČANJE </t>
  </si>
  <si>
    <t>LENDING AND ACQUISITION</t>
  </si>
  <si>
    <t xml:space="preserve">KAPITALSKIH DELEŽEV  </t>
  </si>
  <si>
    <t>OF EQUITIES</t>
  </si>
  <si>
    <t>DANA POSOJILA</t>
  </si>
  <si>
    <t xml:space="preserve">LENDING </t>
  </si>
  <si>
    <t>Dana posojila posameznikom</t>
  </si>
  <si>
    <t>Lending to individuals</t>
  </si>
  <si>
    <t>Dana posojila javnim skladom</t>
  </si>
  <si>
    <t>Lending to extra-budgetary Funds</t>
  </si>
  <si>
    <t>Dana posojila javnim podjetjem</t>
  </si>
  <si>
    <t>Lending to public enterprises</t>
  </si>
  <si>
    <t>Dana posojila finančnim institucijam</t>
  </si>
  <si>
    <t>Lending to financial institutions</t>
  </si>
  <si>
    <t>Dana posojila privatnim podjetjem</t>
  </si>
  <si>
    <t>Lending to private enterprises</t>
  </si>
  <si>
    <t>Dana posojila državnemu proračunu</t>
  </si>
  <si>
    <t>Lending to other levels of Government</t>
  </si>
  <si>
    <t>Dana posojila v tujino</t>
  </si>
  <si>
    <t>Lending abroad</t>
  </si>
  <si>
    <t xml:space="preserve">POVEČANJE KAPITALSKIH DELEŽEV </t>
  </si>
  <si>
    <t>ACQUISITION OF EQUITIES</t>
  </si>
  <si>
    <t>KONSOLIDIRANA GLOBALNA BILANCA JAVNEGA FINANCIRANJA</t>
  </si>
  <si>
    <t>NETO FINANCIRANJE</t>
  </si>
  <si>
    <t>NETO ZADOLŽEVANJE</t>
  </si>
  <si>
    <t>NET LENDING (BORROWING)</t>
  </si>
  <si>
    <t>(VIII.-IX.)</t>
  </si>
  <si>
    <t>POVEČANJE (ZMANJŠANJE) SREDSTEV NA RAČUNIH</t>
  </si>
  <si>
    <t>NET FINANCING</t>
  </si>
  <si>
    <t>(VI.+VII.-VIII.-IX.=-III.)</t>
  </si>
  <si>
    <t>PREJETA MINUS DANA POSOJILA IN SPREMEMBE KAPITALSKIH DELEŽEV</t>
  </si>
  <si>
    <t>LENDING MINUS REPAYMENTS</t>
  </si>
  <si>
    <t>SURPLUS (DEFICIT)</t>
  </si>
  <si>
    <t>( I. - II. )</t>
  </si>
  <si>
    <t>III/A.</t>
  </si>
  <si>
    <t>(I. -7102)- (II-.403-404)</t>
  </si>
  <si>
    <t>JANUARY</t>
  </si>
  <si>
    <t>FEBRUARY</t>
  </si>
  <si>
    <t>MARCH</t>
  </si>
  <si>
    <t>SKUPAJ ODHODKI</t>
  </si>
  <si>
    <t>TOTAL EXPENDITURES</t>
  </si>
  <si>
    <t>SKUPAJ PRIHODKI</t>
  </si>
  <si>
    <t>TOTAL REVENUES</t>
  </si>
  <si>
    <t>TEKOČI ODHODKI</t>
  </si>
  <si>
    <t>DANA POSOJILA IN POVEČANJE KAPITALSKIH DELEŽEV</t>
  </si>
  <si>
    <t>LENDING AND AQUISITION OF EQUITY</t>
  </si>
  <si>
    <t>PAYMENTS TO THE EU BUDGET</t>
  </si>
  <si>
    <t>ZADOLŽEVANJE</t>
  </si>
  <si>
    <t>BORROWING</t>
  </si>
  <si>
    <t>ODPLAČILA DOLGA</t>
  </si>
  <si>
    <t>AMORTIZATION OF DEBT</t>
  </si>
  <si>
    <t>DAVČNI PRIHODKI</t>
  </si>
  <si>
    <t>NEDAVČNI PRIHODKI</t>
  </si>
  <si>
    <t>NON - TAX REVENUES</t>
  </si>
  <si>
    <t>KAPITALSKI PRIHODKI</t>
  </si>
  <si>
    <t>TRANSFERNI PRIHODKI</t>
  </si>
  <si>
    <t>PREJETA VRAČILA DANIH POSOJIL IN PRODAJA KAPITALSKIH DELEŽEV</t>
  </si>
  <si>
    <t>RAPAYMENTS OF LOANS AND SALES OF EQUITIES</t>
  </si>
  <si>
    <t>RECEIPTS FROM THE EU BUDGET</t>
  </si>
  <si>
    <t>Globe in druge denarne kazni</t>
  </si>
  <si>
    <t>Revenues from privatization of ex - social enterprises</t>
  </si>
  <si>
    <t>Prejeta vračila namenskega premoženja</t>
  </si>
  <si>
    <t>Received refunds of earmarked assets</t>
  </si>
  <si>
    <t>Plačila obresti od kreditov - Banki Slovenije</t>
  </si>
  <si>
    <t>Plačila obresti od kreditov - poslovnim bankam</t>
  </si>
  <si>
    <t>Interest payments for loans from commercial banks</t>
  </si>
  <si>
    <t>Plačila obresti od kreditov - drugim finančnim institucijam</t>
  </si>
  <si>
    <t>Interest payments for loans from other financial institutions</t>
  </si>
  <si>
    <t>Plačila obresti od kreditov - drugim domačim kreditodajalcem</t>
  </si>
  <si>
    <t>Interest payments for loans from other domestic debtholders</t>
  </si>
  <si>
    <t>Plačila obresti od vrednostnih papirjev izdanih na domačem trgu</t>
  </si>
  <si>
    <t>Plačila obresti od kreditov - mednarodnim finančnim institucijam</t>
  </si>
  <si>
    <t>Plačila obresti od kreditov - tujim vladam</t>
  </si>
  <si>
    <t>Plačila obresti od kreditov - tujim poslovnim bankam in finančnim institucijam</t>
  </si>
  <si>
    <t>Interest payments to foreign commercial banks and other financial institutions</t>
  </si>
  <si>
    <t>Plačila obresti od kreditov - drugim tujim kreditodajalcem</t>
  </si>
  <si>
    <t>Splošna proračunska rezervacija</t>
  </si>
  <si>
    <t>Proračunska rezerva</t>
  </si>
  <si>
    <t>Funds for special purposes</t>
  </si>
  <si>
    <t>Transferi vojnim invalidom, veteranom in žrtvam vojnega nasilja</t>
  </si>
  <si>
    <t>Nadomestila plač</t>
  </si>
  <si>
    <t>Current transfers to non-profit organizations and institutions</t>
  </si>
  <si>
    <t>Tekoči transferi občinam</t>
  </si>
  <si>
    <t>Current transfers to other levels of general government</t>
  </si>
  <si>
    <t>Tekoči transferi v javne sklade</t>
  </si>
  <si>
    <t>Current transfers to other extra-budgetary funds</t>
  </si>
  <si>
    <t>Curent transfer to state budget</t>
  </si>
  <si>
    <t>prisp. delodaj. za ZZ za brezposelnost</t>
  </si>
  <si>
    <t>dopolnilna, tekoče obveznosti (LS,ZPIZ)</t>
  </si>
  <si>
    <t xml:space="preserve">ZA LETO   </t>
  </si>
  <si>
    <t>Tekoči transferi v javne agencije</t>
  </si>
  <si>
    <t>Investicijski transferi občinam</t>
  </si>
  <si>
    <t>Investicijski transferi javnim skladom in agencijam</t>
  </si>
  <si>
    <t>Investicijski transferi v državni proračun</t>
  </si>
  <si>
    <t>Investicijski transferi javnim zavodom</t>
  </si>
  <si>
    <t>Investicijski transferi javnim podjetjem in družbam, ki so v lasti države ali občin</t>
  </si>
  <si>
    <t>Investicijski transferi finančnim institucijam</t>
  </si>
  <si>
    <t>Investicijski transferi privatnim podjetjem</t>
  </si>
  <si>
    <t>Investicijski transferi posameznikom in zasebnikom</t>
  </si>
  <si>
    <t>Investicijski transferi drugim izvajalcem javnih služb, ki niso posredni proračunski uporabniki</t>
  </si>
  <si>
    <t>Plačila zapadlih poroštev</t>
  </si>
  <si>
    <t>KONSOLIDIRANE BILANCE DRŽAVNEGA PRORAČUNA, PRORAČUNOV OBČIN,</t>
  </si>
  <si>
    <t xml:space="preserve">POKOJNINSKO-INVALIDSKEGA TER ZDRAVSTVENEGA ZAVAROVANJA </t>
  </si>
  <si>
    <t>- V TISOČIH TOLARJEV</t>
  </si>
  <si>
    <t>PRIMER-</t>
  </si>
  <si>
    <t>TRANSFERNI</t>
  </si>
  <si>
    <t>KONSOLIDIRANA</t>
  </si>
  <si>
    <t>JAVA</t>
  </si>
  <si>
    <t>KONTO</t>
  </si>
  <si>
    <t>DRŽAVNI</t>
  </si>
  <si>
    <t>PRORAČUNI</t>
  </si>
  <si>
    <t>Z P I Z</t>
  </si>
  <si>
    <t>Z Z Z S</t>
  </si>
  <si>
    <t>TOKOVI</t>
  </si>
  <si>
    <t>GLOBALNA</t>
  </si>
  <si>
    <t>Z</t>
  </si>
  <si>
    <t>PRORAČUN</t>
  </si>
  <si>
    <t>OBČIN</t>
  </si>
  <si>
    <t xml:space="preserve">(SE </t>
  </si>
  <si>
    <t>BILANCA</t>
  </si>
  <si>
    <t>B  D  P</t>
  </si>
  <si>
    <t>KONSOLIDIRAJO)</t>
  </si>
  <si>
    <t>1 9 9 2</t>
  </si>
  <si>
    <t>V %</t>
  </si>
  <si>
    <t>(1)</t>
  </si>
  <si>
    <t>(2)</t>
  </si>
  <si>
    <t>(3)</t>
  </si>
  <si>
    <t>(4)</t>
  </si>
  <si>
    <t>(5)</t>
  </si>
  <si>
    <t>(6=1+2+3+4-5)</t>
  </si>
  <si>
    <t>I.</t>
  </si>
  <si>
    <t xml:space="preserve">S K U P A J    P R I H O D K I  </t>
  </si>
  <si>
    <t xml:space="preserve">T O T A L    R E V E N U E S </t>
  </si>
  <si>
    <t>(70+71+72+73+74)</t>
  </si>
  <si>
    <t xml:space="preserve">TEKOČI PRIHODKI </t>
  </si>
  <si>
    <t>CURRENT REVENUES</t>
  </si>
  <si>
    <t>(70+71)</t>
  </si>
  <si>
    <t xml:space="preserve">DAVČNI PRIHODKI        </t>
  </si>
  <si>
    <t>TAX REVENUES</t>
  </si>
  <si>
    <t>(700+701+702+703+704+705+706)</t>
  </si>
  <si>
    <t>DAVKI NA DOHODEK IN DOBIČEK</t>
  </si>
  <si>
    <t>TAXES ON INCOME AND PROFIT</t>
  </si>
  <si>
    <t>Dohodnina</t>
  </si>
  <si>
    <t>Individual taxes on income and profit</t>
  </si>
  <si>
    <t>Davek od dobička pravnih oseb</t>
  </si>
  <si>
    <t xml:space="preserve">Corporate profit tax </t>
  </si>
  <si>
    <t xml:space="preserve">Drugi davki na dohodek in dobiček </t>
  </si>
  <si>
    <t>Other taxes on income and profit</t>
  </si>
  <si>
    <t>PRISPEVKI ZA SOCIALNO VARNOST</t>
  </si>
  <si>
    <t>SOCIAL SECURITY CONTRIBUTIONS</t>
  </si>
  <si>
    <t>Prispevki zaposlenih</t>
  </si>
  <si>
    <t>Employees contributions</t>
  </si>
  <si>
    <t>Prispevki delodajalcev</t>
  </si>
  <si>
    <t>Employers contributions</t>
  </si>
  <si>
    <t xml:space="preserve">Prispevki samozaposlenih </t>
  </si>
  <si>
    <t>Self employed contributions</t>
  </si>
  <si>
    <t>Ostali prispevki za socialno varnost</t>
  </si>
  <si>
    <t>Other social security contributions</t>
  </si>
  <si>
    <t>DAVKI NA PLAČILNO LISTO IN DELOVNO SILO</t>
  </si>
  <si>
    <t>TAXES ON PAYROLL AND WORKFORCE</t>
  </si>
  <si>
    <t>Davek na izplačane plače</t>
  </si>
  <si>
    <t>Payroll tax</t>
  </si>
  <si>
    <t>Posebni davek na določene prejemke</t>
  </si>
  <si>
    <t>Tax on work-contracts</t>
  </si>
  <si>
    <t>DAVKI NA PREMOŽENJE</t>
  </si>
  <si>
    <t>TAXES ON PROPERTY</t>
  </si>
  <si>
    <t>Davki na nepremičnine</t>
  </si>
  <si>
    <t>Taxes on immovable property</t>
  </si>
  <si>
    <t>Davki na premičnine</t>
  </si>
  <si>
    <t>Taxes on movable property</t>
  </si>
  <si>
    <t>Davki na dediščine in darila</t>
  </si>
  <si>
    <t>Estate, inheritance and gift taxes</t>
  </si>
  <si>
    <t>Davki na promet nepremičnin in na finančno premoženje</t>
  </si>
  <si>
    <t>Taxes on transactions</t>
  </si>
  <si>
    <t>DOMAČI DAVKI NA BLAGO IN STORITVE</t>
  </si>
  <si>
    <t>DOMESTIC TAXES ON GOODS AND SERVICES</t>
  </si>
  <si>
    <t>Splošni prometni davki, davki na dodano vrednost</t>
  </si>
  <si>
    <t>Personal income tax</t>
  </si>
  <si>
    <t>Corporation tax</t>
  </si>
  <si>
    <t>Employee contributions</t>
  </si>
  <si>
    <t>Employers' contributions</t>
  </si>
  <si>
    <t>Self-employed contributions</t>
  </si>
  <si>
    <t>***Davek na izplačane plače</t>
  </si>
  <si>
    <t>Special tax on specific earnings</t>
  </si>
  <si>
    <t>Tax on immovable property</t>
  </si>
  <si>
    <t>Value added tax</t>
  </si>
  <si>
    <t>Excise duties</t>
  </si>
  <si>
    <t>Profits of fiscal monopolies</t>
  </si>
  <si>
    <t>Business and operating licenses</t>
  </si>
  <si>
    <t>Letna dajatev za uporabo vozil v cestnem prometu</t>
  </si>
  <si>
    <t>Road usage fee</t>
  </si>
  <si>
    <t>Other taxes on the use of goods and services</t>
  </si>
  <si>
    <t>Davki od prometa motornih vozil</t>
  </si>
  <si>
    <t>Other taxes</t>
  </si>
  <si>
    <t>UDELEŽBA NA DOBIČKU IN DOHODKI OD PREMOŽENJA</t>
  </si>
  <si>
    <t>PARTICIPATION IN PROFITS AND PROPERTY INCOME</t>
  </si>
  <si>
    <t>Revenues from participation in profits and dividends and excess of revenues over expenses</t>
  </si>
  <si>
    <t>Interest income</t>
  </si>
  <si>
    <t>Capital gains</t>
  </si>
  <si>
    <t>Administrative fees and charges</t>
  </si>
  <si>
    <t>GLOBE IN DRUGE DENARNE KAZNI</t>
  </si>
  <si>
    <t>Fines and forefeits</t>
  </si>
  <si>
    <t>PROCEEDS FROM SALES OF GOODS AND SERVICES</t>
  </si>
  <si>
    <t>Proceeds from sales of goods and services</t>
  </si>
  <si>
    <t>Other voluntary social security contributions</t>
  </si>
  <si>
    <t>PROCEEDS FROM DISPOSAL OF FIXED ASSETS</t>
  </si>
  <si>
    <t>Proceeds from sales of buildings and premises</t>
  </si>
  <si>
    <t>Proceeds from sales of vehicles</t>
  </si>
  <si>
    <t>Proceeds from sales of equipment</t>
  </si>
  <si>
    <t>Proceeds from disposal of other fixed assets</t>
  </si>
  <si>
    <t>PROCEEDS FROM DISPOSAL OF STOCKS</t>
  </si>
  <si>
    <t>Proceeds from sales of emergency stocks</t>
  </si>
  <si>
    <t>Proceeds from sales of other stocks</t>
  </si>
  <si>
    <t>PRIHODKI OD PRODAJE ZEMLJIŠČ IN NEOPREDMETENIH SREDSTEV</t>
  </si>
  <si>
    <t>PROCEEDS FROM DISPOSAL OF LAND AND INTANGIBLE ASSETS</t>
  </si>
  <si>
    <t>Proceeds from sales of agricultural land and forests</t>
  </si>
  <si>
    <t>Proceeds from sales of building land</t>
  </si>
  <si>
    <t>Prihodki od prodaje premoženjskih pravic in drugih neopredmetenih sredstev</t>
  </si>
  <si>
    <t>Proceeds from sales of property rights and other intangible fixed assets</t>
  </si>
  <si>
    <t>DONATIONS RECEIVED</t>
  </si>
  <si>
    <t>PREJETE DONACIJE IZ DOMAČIH VIROV</t>
  </si>
  <si>
    <t>DOMESTIC DONATIONS</t>
  </si>
  <si>
    <t>Grants and gifts received from domestic legal entities</t>
  </si>
  <si>
    <t>Grants and gifts received from domestic natural persons</t>
  </si>
  <si>
    <t>FOREIGN DONATIONS</t>
  </si>
  <si>
    <t>Grants and gifts received from foreign non-government organizations and foundations</t>
  </si>
  <si>
    <t>Grants and gifts received from foreign governments and government institutions</t>
  </si>
  <si>
    <t>Grants and gifts received from foreign legal entities</t>
  </si>
  <si>
    <t>Grants and gifts received from foreign individuals</t>
  </si>
  <si>
    <t>DONACIJE ZA ODPRAVO POSLEDIC NARAVNIH NESREČ</t>
  </si>
  <si>
    <t>NATURAL DISASTER RELIEF DONATIONS</t>
  </si>
  <si>
    <t>TRANSFERNI PRIHODKI IZ DRUGIH JAVNOFINANČNIH INSTITUCIJ</t>
  </si>
  <si>
    <t>TRANSFER REVENUES FROM OTHER GENERAL GOVERNMENT INSTITUTIONS</t>
  </si>
  <si>
    <t>Transfers from local government budgets</t>
  </si>
  <si>
    <t>PREDPRISTOPNA IN POPRISTOPNA POMOČ EVROPSKE UNIJE</t>
  </si>
  <si>
    <t>EU PRE-ACCESSION AND POST-ACCESSION ASSISTANCE</t>
  </si>
  <si>
    <t>PREJETA SREDSTVA IZ PRORAČUNA EU ZA IZVAJANJE SKUPNE KMETIJSKE IN RIBIŠKE POLITIKE</t>
  </si>
  <si>
    <t>RECEIPTS FROM THE EU BUDGET FOR THE IMPLEMENTATION OF THE COMMON AGRICULTURAL AND FISHERIES POLICY</t>
  </si>
  <si>
    <t>PREJETA SREDSTVA IZ PRORAČUNA EU IZ STRUKTURNIH SKLADOV</t>
  </si>
  <si>
    <t>FUNDS RECEIVED FROM STRUCTURAL FUNDS OF THE EU BUDGET</t>
  </si>
  <si>
    <t>PREJETA SREDSTVA IZ PRORAČUNA EU IZ KOHEZIJSKEGA SKLADA</t>
  </si>
  <si>
    <t>FUNDS RECEIVED FROM THE COHESION FUND OF THE EU BUDGET</t>
  </si>
  <si>
    <t>PREJETA SREDSTVA IZ PRORAČUNA EU ZA IZVAJANJE CENTRALIZIRANIH IN DRUGIH PROGRAMOV EU</t>
  </si>
  <si>
    <t>FUNDS RECEIVED FROM THE EU BUDGET FOR IMPLEMENTATION OF CENTRALISED AND OTHER EU PROGRAMMES</t>
  </si>
  <si>
    <t>LUMP-SUM RECEIPTS FROM THE EU BUDGET</t>
  </si>
  <si>
    <t>OTHER RECEIPTS FROM THE EU BUDGET</t>
  </si>
  <si>
    <t>OTHER RECEIPTS FROM EU SOURCES</t>
  </si>
  <si>
    <t>PREJETA VRAČILA SREDSTEV IZ PRORAČUNA EVROPSKE UNIJE</t>
  </si>
  <si>
    <t>REPAYMENTS FROM THE EU BUDGET</t>
  </si>
  <si>
    <t>Tekoči transferi v javne zavode - sredstva za plače in druge izdatke zaposlenim</t>
  </si>
  <si>
    <t>EMPLOYERS' SOCIAL SECURITY CONTRIBUTIONS</t>
  </si>
  <si>
    <t>Tekoči transferi v javne zavode - sredstva za prispevke delodajalcev</t>
  </si>
  <si>
    <t>Tekoči transferi v javne zavode - za premije kolektivnega dodatnega pokojninskega zavarovanja</t>
  </si>
  <si>
    <t>Current transfers to other public institutions - for supplementary pension insurance premiums of government employees</t>
  </si>
  <si>
    <t>IZDATKI ZA BLAGO IN STORITVE</t>
  </si>
  <si>
    <t>Current transfers to other public institutions - expenditure for goods and services</t>
  </si>
  <si>
    <t>Interest payments for loans from the Bank of Slovenia</t>
  </si>
  <si>
    <t>Interest payments for securities issued on the local market</t>
  </si>
  <si>
    <t>Plačila obresti subjektom, vključenim v sistem EZR</t>
  </si>
  <si>
    <t>Interest payments to entities included in the TSA system</t>
  </si>
  <si>
    <t>PLAČILA TUJIH OBRESTI</t>
  </si>
  <si>
    <t>Interest payments to other foreign creditors</t>
  </si>
  <si>
    <t>Interest payments for securities issued on a foreign market</t>
  </si>
  <si>
    <t>REZERVE</t>
  </si>
  <si>
    <t>General budgetary reserve</t>
  </si>
  <si>
    <t>Budgetary reserve</t>
  </si>
  <si>
    <t>Subsidies to private enterprises and individuals</t>
  </si>
  <si>
    <t>Transfers to the unemployed</t>
  </si>
  <si>
    <t>Family benefits and parental compensations</t>
  </si>
  <si>
    <t>Social security transfers</t>
  </si>
  <si>
    <t>Transfers made to War disabled, war veterans and war victims</t>
  </si>
  <si>
    <t>Wage compensations</t>
  </si>
  <si>
    <t>Sickenss benefits</t>
  </si>
  <si>
    <t>TRANSFERI NEPRIDOBITNIM ORGANIZACIJAM IN USTANOVAM</t>
  </si>
  <si>
    <t>TRANSFERS TO NON-PROFIT ORGANISATIONS AND INSTITUTIONS</t>
  </si>
  <si>
    <t>Tekoči transferi nepridobitnim organizacijam in ustanovam</t>
  </si>
  <si>
    <t>DRUGI TEKOČI DOMAČI TRANSFERI</t>
  </si>
  <si>
    <t>Current payments to other institutions performing public services which are not direct budget spending units</t>
  </si>
  <si>
    <t>Current transfers to international institutions</t>
  </si>
  <si>
    <t>Current transfers to foreign governments and government institutions</t>
  </si>
  <si>
    <t>Current transfers to non-profit institutions abroad</t>
  </si>
  <si>
    <t>Acquisition of buildings and other premises</t>
  </si>
  <si>
    <t>Acquisition of vehicles</t>
  </si>
  <si>
    <t>Acquisition of equipment</t>
  </si>
  <si>
    <t>Acquisition of other fixed assets</t>
  </si>
  <si>
    <t>Construction and reconstruction works and improvements</t>
  </si>
  <si>
    <t>Acquisition of land and natural resources</t>
  </si>
  <si>
    <t>Acquisition of of intangible assets</t>
  </si>
  <si>
    <t>Project feasibility studies, project documents, supervision and investment engineering</t>
  </si>
  <si>
    <t>Acquisition of commodity and intervention stocks</t>
  </si>
  <si>
    <t>INVESTICIJSKI TRANSFERI PRAVNIM IN FIZIČNIM OSEBAM, KI NISO PRORAČUNSKI UPORABNIKI</t>
  </si>
  <si>
    <t>CAPITAL TRANSFERS TO INSTITUTIONS OUTSIDE GENERAL GOVERNMENT</t>
  </si>
  <si>
    <t>Investicijski transferi nepridobitnim organizacijam in ustanovam</t>
  </si>
  <si>
    <t>Capital transfers to public enterprises owned by the state and by local communities</t>
  </si>
  <si>
    <t>Capital transfers to private institutions providing public services which are not direct budget spending units</t>
  </si>
  <si>
    <t>INVESTICIJSKI TRANSFERI PRORAČUNSKIM UPORABNIKOM</t>
  </si>
  <si>
    <t>CAPITAL TRANSFERS TO GENERAL GOVERNMENT INSTITUTIONS</t>
  </si>
  <si>
    <t>Capital transfers to extra-budgetary funds and agencies</t>
  </si>
  <si>
    <t>Capital transfers to the central government budget</t>
  </si>
  <si>
    <t>TOTAL PAYMENTS TO THE EU BUDGET</t>
  </si>
  <si>
    <t>Payments of Traditional Own Resources into to the EU Budget</t>
  </si>
  <si>
    <t>Payments of VAT resources into the EU Budget</t>
  </si>
  <si>
    <t>Payments of GNI resources into the EU Budget</t>
  </si>
  <si>
    <t>Plačila sredstev v proračun EU iz naslova popravka v korist Združenega Kraljestva</t>
  </si>
  <si>
    <t>Payments of UK rebate into the EU Budget</t>
  </si>
  <si>
    <t>PREJETA VRAČILA DANIH POSOJIL</t>
  </si>
  <si>
    <t>REPAYMENTS OF LOANS</t>
  </si>
  <si>
    <t>Repayments of loans from public enterprises and companies owned by the state and local communities</t>
  </si>
  <si>
    <t>Repayments of paid state budget guarantees</t>
  </si>
  <si>
    <t>PRODAJA KAPITALSKIH DELEŽEV</t>
  </si>
  <si>
    <t>DISPOSAL OF EQUITIES</t>
  </si>
  <si>
    <t>Proceeds from disposal of equity interests in public enterprises and companies owned by the state or local communities</t>
  </si>
  <si>
    <t>Proceeds from disposal of equity interests in financial institutions</t>
  </si>
  <si>
    <t>Proceeds from disposal of equity interests in private enterprises</t>
  </si>
  <si>
    <t>Proceeds from disposal of other equity interests</t>
  </si>
  <si>
    <t>KUPNINE IZ NASLOVA PRIVATIZACIJE</t>
  </si>
  <si>
    <t>PURCHASE MONIES RECEIVED FROM PRIVATIZATION</t>
  </si>
  <si>
    <t>LENDING</t>
  </si>
  <si>
    <t>Lending to public enterprises mand companies owned by the state and by local communities</t>
  </si>
  <si>
    <t>Payments of overdue guarantees</t>
  </si>
  <si>
    <t>POVEČANJE KAPITALSKIH DELEŽEV IN FINANČNIH NALOŽB</t>
  </si>
  <si>
    <t>Increase in equity holdings in public enterprises and companies owned by the state and local communities</t>
  </si>
  <si>
    <t>Increase of equity holdings in private enterprises</t>
  </si>
  <si>
    <t>Joint ventures</t>
  </si>
  <si>
    <t>Increase of equity holdings abroad</t>
  </si>
  <si>
    <t>Increase in other equity investments</t>
  </si>
  <si>
    <t>LENDING AND ACQUISITION OF EQUITIES FROM PRIVATISATION</t>
  </si>
  <si>
    <t>Loans made from privatisation proceeds</t>
  </si>
  <si>
    <t>Transfers of privatisation proceeds to extrabudgetary funds</t>
  </si>
  <si>
    <t>Increase of of equity holdings from privatization proceeds</t>
  </si>
  <si>
    <t>POVEČANJE NAMENSKEGA PREMOŽENJA V JAVNIH SKLADIH IN DRUGIH PRAVNIH OSEBAH JAVNEGA PRAVA, KI IMAJO PREMOŽENJE V SVOJI LASTI</t>
  </si>
  <si>
    <t>ACQUISITION OF ASSETS IN EXTRABUDGETARY FUNDS</t>
  </si>
  <si>
    <t>Increase of commitment appropriations in extrabudgetary funds</t>
  </si>
  <si>
    <t>Loans from the Bank of Slovenia</t>
  </si>
  <si>
    <t>Loans from other domestic creditors</t>
  </si>
  <si>
    <t>Funds from domestic issues of securities</t>
  </si>
  <si>
    <t>Loans from other foreign creditors</t>
  </si>
  <si>
    <t>Funds from issue of securities</t>
  </si>
  <si>
    <t>ODPLAČILA DOMAČEGA DOLGA</t>
  </si>
  <si>
    <t>Amortization of loans from the Bank of Slovenia</t>
  </si>
  <si>
    <t>Amortization of loans from other domestic creditors</t>
  </si>
  <si>
    <t>Amortization of principal of securities issued on the domestic market</t>
  </si>
  <si>
    <t>Amortization of debt to international financial institutions</t>
  </si>
  <si>
    <t>Amortization of debt to foreign Governments</t>
  </si>
  <si>
    <t>Amortization of debt to foreign commercial banks and financial institutions</t>
  </si>
  <si>
    <t>Amortization of debt to other foreign creditors</t>
  </si>
  <si>
    <t>Amortization of principal of securities issued on foreign markets</t>
  </si>
  <si>
    <t>General sales taxes, value-added taxes</t>
  </si>
  <si>
    <t>Drugi davki na blago in storitve</t>
  </si>
  <si>
    <t>Other taxes on goods and services</t>
  </si>
  <si>
    <t>Trošarine (akcize)</t>
  </si>
  <si>
    <t>Excises</t>
  </si>
  <si>
    <t>Dobicki fiskalnih monopolov</t>
  </si>
  <si>
    <t>Profits on fiscal monopolies</t>
  </si>
  <si>
    <t>Davki na posebne storitve</t>
  </si>
  <si>
    <t>Taxes on specific services</t>
  </si>
  <si>
    <t>(pos.pr.d.na poseb.igre na srečo)</t>
  </si>
  <si>
    <t xml:space="preserve"> </t>
  </si>
  <si>
    <t>Dovoljenja za poslovanje in za opravljanje dejavnosti</t>
  </si>
  <si>
    <t>Business and professional licenses</t>
  </si>
  <si>
    <t>Pristojbine za motorna vozila</t>
  </si>
  <si>
    <t>Motor vehicle taxes</t>
  </si>
  <si>
    <t>Drugi davki na uporabo blaga ali opravljanje storitev</t>
  </si>
  <si>
    <t>Other special taxes on goods and services</t>
  </si>
  <si>
    <t>(vodna povračila.prenoč.taksa,odškod.za spr.namemb.,požarna taksa)</t>
  </si>
  <si>
    <t>DAVKI NA MEDNARODNO TRGOVINO IN TRANSAKCIJE</t>
  </si>
  <si>
    <t>TAXES ON INTERNATIONAL TRADE AND TRANSACTIONS</t>
  </si>
  <si>
    <t>Carine</t>
  </si>
  <si>
    <t>Customs duties</t>
  </si>
  <si>
    <t>Druge uvozne dajatve</t>
  </si>
  <si>
    <t>Other import duties</t>
  </si>
  <si>
    <t>Izvozne dajatve</t>
  </si>
  <si>
    <t>Export duties</t>
  </si>
  <si>
    <t>Dobički izvoznih in uvoznih monopolov</t>
  </si>
  <si>
    <t>Profits of export and import monopolies</t>
  </si>
  <si>
    <t>Dobički od menjave tujih valut</t>
  </si>
  <si>
    <t>Exchange profits</t>
  </si>
  <si>
    <t>Davki na menjavo tujih valut</t>
  </si>
  <si>
    <t>Exchange taxes</t>
  </si>
  <si>
    <t>Drugi davki na mednarodno trgovino in transakcije</t>
  </si>
  <si>
    <t>Other taxes on international trade and transactions</t>
  </si>
  <si>
    <t>DRUGI DAVKI</t>
  </si>
  <si>
    <t>OTHER TAXES</t>
  </si>
  <si>
    <t>Drugi davki</t>
  </si>
  <si>
    <t xml:space="preserve">Other taxes </t>
  </si>
  <si>
    <t>NEDAVČNI  PRIHODKI</t>
  </si>
  <si>
    <t>NON-TAX REVENUES</t>
  </si>
  <si>
    <t>(710+711+712+713+714)</t>
  </si>
  <si>
    <t xml:space="preserve">                     </t>
  </si>
  <si>
    <t xml:space="preserve">UDELEŽBA NA DOBIČKU IN DOHODKI OD PREMOŽENJA </t>
  </si>
  <si>
    <t>ENTERPRENEURIAL AND PROPERTY INCOME</t>
  </si>
  <si>
    <t>Udeležba na dobičku javnih podjetij in javnih finanč.institucij</t>
  </si>
  <si>
    <t>Profit transfered from public enterprises and financial institutions</t>
  </si>
  <si>
    <t xml:space="preserve">Prihodki od udeležbe na dobičku drugih podjetij </t>
  </si>
  <si>
    <t>Dividends</t>
  </si>
  <si>
    <t>Prihodki od obresti</t>
  </si>
  <si>
    <t>Interests receipts</t>
  </si>
  <si>
    <t>Prihodki od premoženja</t>
  </si>
  <si>
    <t>Property income</t>
  </si>
  <si>
    <t>(prih.od koncesij, najemnin in zakupnin)</t>
  </si>
  <si>
    <t>TAKSE IN PRISTOJBINE</t>
  </si>
  <si>
    <t>FEES AND CHARGES</t>
  </si>
  <si>
    <t>Sodne takse</t>
  </si>
  <si>
    <t>Court fees</t>
  </si>
  <si>
    <t>Upravne takse</t>
  </si>
  <si>
    <t>Administrative service charges</t>
  </si>
  <si>
    <t xml:space="preserve">DENARNE KAZNI </t>
  </si>
  <si>
    <t>FINES AND FORFEITS</t>
  </si>
  <si>
    <t>Denarne kazni</t>
  </si>
  <si>
    <t>Fines</t>
  </si>
  <si>
    <t>PRIHODKI OD PRODAJE BLAGA IN STORITEV</t>
  </si>
  <si>
    <t>SALES OF GOODS AND SERVICES</t>
  </si>
  <si>
    <t>Prihodki od prodaje blaga in storitev</t>
  </si>
  <si>
    <t>Sales of goods and services</t>
  </si>
  <si>
    <t>(lastni prihodki proračunskih uporabnikov)</t>
  </si>
  <si>
    <t>DRUGI NEDAVČNI PRIHODKI</t>
  </si>
  <si>
    <t>OTHER NON-TAX REVENUES</t>
  </si>
  <si>
    <t>Dodatni prostovoljni prispevki za socialno varnost</t>
  </si>
  <si>
    <t>Additional voluntary social security contributions</t>
  </si>
  <si>
    <t>Drugi nedavčni prihodki</t>
  </si>
  <si>
    <t>Other non-tax revenues</t>
  </si>
  <si>
    <t xml:space="preserve">KAPITALSKI PRIHODKI </t>
  </si>
  <si>
    <t>CAPITAL REVENUES</t>
  </si>
  <si>
    <t>(720+721+722)</t>
  </si>
  <si>
    <t>PRIHODKI OD PRODAJE OSNOVNIH SREDSTEV</t>
  </si>
  <si>
    <t>SALES OF FIXED ASSETS</t>
  </si>
  <si>
    <t>Prihodki od prodaje zgradb in prostorov</t>
  </si>
  <si>
    <t>Sales of buildings and other construction</t>
  </si>
  <si>
    <t>Prihodki od prodaje prevoznih sredstev</t>
  </si>
  <si>
    <t>Sales of vehicles</t>
  </si>
  <si>
    <t>Prihodki od prodaje opreme</t>
  </si>
  <si>
    <t>Sales of equipment</t>
  </si>
  <si>
    <t>Prihodki od prodaje drugih osnovnih sredstev</t>
  </si>
  <si>
    <t>Sales of other fixed assets</t>
  </si>
  <si>
    <t>PRIHODKI OD PRODAJE ZALOG</t>
  </si>
  <si>
    <t>SALES OF STOCKS</t>
  </si>
  <si>
    <t>Prihodki od prodaje blagovnih rezerv</t>
  </si>
  <si>
    <t>Sales of strategic and emergency stocks</t>
  </si>
  <si>
    <t>Prihodki od prodaje drugih zalog</t>
  </si>
  <si>
    <t>Sales of other stocks</t>
  </si>
  <si>
    <t>PRIHODKI OD PRODAJE ZEMLJIŠČ IN NEMATERIAL. PREMOŽENJA</t>
  </si>
  <si>
    <t>SALES OF LAND AND INTANGIBLE ASSETS</t>
  </si>
  <si>
    <t>Prihodki od prodaje kmetijskih zemljišč in gozdov</t>
  </si>
  <si>
    <t>Sales of agricultural land and forests</t>
  </si>
  <si>
    <t>Prihodki od prodaje stavbnih zemljišč</t>
  </si>
  <si>
    <t>Sales of building ground</t>
  </si>
  <si>
    <t>Prihodki od prodaje nematerialnega premoženja</t>
  </si>
  <si>
    <t>Sales of intangible assets</t>
  </si>
  <si>
    <t>PREJETE DONACIJE</t>
  </si>
  <si>
    <t>GRANTS</t>
  </si>
  <si>
    <t>(730+731)</t>
  </si>
  <si>
    <t xml:space="preserve">PREJETE DONACIJE IZ DOMAČIH VIROV </t>
  </si>
  <si>
    <t>DOMESTIC GRANTS</t>
  </si>
  <si>
    <t>Prejete donacije iz domačih virov za tekočo porabo</t>
  </si>
  <si>
    <t>Domestic current grants</t>
  </si>
  <si>
    <t>Prejete donacije iz domačih virov za investicije</t>
  </si>
  <si>
    <t>Domestic capital grants</t>
  </si>
  <si>
    <t>Grants from privatisation revenues</t>
  </si>
  <si>
    <t>PREJETE DONACIJE IZ TUJINE</t>
  </si>
  <si>
    <t>FOREIGN GRANTS</t>
  </si>
  <si>
    <t>Prejete donacije iz tujine za tekočo porabo</t>
  </si>
  <si>
    <t>Foreign current grants</t>
  </si>
  <si>
    <t>Prejete donacije iz tujine za investicije</t>
  </si>
  <si>
    <t>Foreign capital grants</t>
  </si>
  <si>
    <t xml:space="preserve">TRANSFERNI PRIHODKI    </t>
  </si>
  <si>
    <t>TRANSFERED REVENUES</t>
  </si>
  <si>
    <t xml:space="preserve">TRANSFERNI PRIHODKI IZ DRUGIH JAVNOFINANČNIH </t>
  </si>
  <si>
    <t>TRANSFERS FROM OTHER GOVERNMENT</t>
  </si>
  <si>
    <t>INSTITUCIJ</t>
  </si>
  <si>
    <t>INSTITUTIONS</t>
  </si>
  <si>
    <t>Prejeta sredstva iz državnega proračuna</t>
  </si>
  <si>
    <t>Transfers from the State Budget</t>
  </si>
  <si>
    <t>Prejeta sredstva iz proračunov lokalnih skupnosti</t>
  </si>
  <si>
    <t>Transfers from local governments</t>
  </si>
  <si>
    <t xml:space="preserve">Prejeta sredstva iz skladov socialnega zavarovanja </t>
  </si>
  <si>
    <t>Transfers from social security funds</t>
  </si>
  <si>
    <t>Prejeta sredstva iz drugih javnih skladov</t>
  </si>
  <si>
    <t>Transfers from other extrabudgetary funds</t>
  </si>
  <si>
    <t xml:space="preserve">    B  D  P</t>
  </si>
  <si>
    <t>II.</t>
  </si>
  <si>
    <t xml:space="preserve">S K U P A J    O D H O D K I </t>
  </si>
  <si>
    <t>T O T A L    E X P E N D I T U R E</t>
  </si>
  <si>
    <t>(40+41+42+43)</t>
  </si>
  <si>
    <t xml:space="preserve">TEKOČI ODHODKI </t>
  </si>
  <si>
    <t>CURRENT EXPENDITURE</t>
  </si>
  <si>
    <t>(400+401+402+403+404+409)</t>
  </si>
  <si>
    <t>PLAČE IN DRUGI IZDATKI ZAPOSLENIM</t>
  </si>
  <si>
    <t>SALARIES, WAGES AND OTHER  PERSONNEL EXPENDITURE</t>
  </si>
  <si>
    <t xml:space="preserve">Plače in dodatki </t>
  </si>
  <si>
    <t>Basic salaries and allowances</t>
  </si>
  <si>
    <t>Regres za letni dopust</t>
  </si>
  <si>
    <t>Holiday bonus</t>
  </si>
  <si>
    <t>Povračila in nadomestila</t>
  </si>
  <si>
    <t>Specific allowances</t>
  </si>
  <si>
    <t>Sredstva za delovno uspešnost</t>
  </si>
  <si>
    <t>Performance bonus</t>
  </si>
  <si>
    <t>Sredstva za nadurno delo</t>
  </si>
  <si>
    <t>Overtime</t>
  </si>
  <si>
    <t>Plače za delo po pogodbi</t>
  </si>
  <si>
    <t>Contract wages</t>
  </si>
  <si>
    <t>Drugi izdatki zaposlenim</t>
  </si>
  <si>
    <t>Other personnel expenditure</t>
  </si>
  <si>
    <t>PRISPEVKI DELODAJALCEV ZA SOCIALNO VARNOST</t>
  </si>
  <si>
    <t>Prispevki za pokojninsko in invalidsko zavarovanje</t>
  </si>
  <si>
    <t>Pension and disability insurance contributions</t>
  </si>
  <si>
    <t>JANUAR</t>
  </si>
  <si>
    <t>FEBRUAR</t>
  </si>
  <si>
    <t>MAREC</t>
  </si>
  <si>
    <t>Prispevki za zdravstveno zavarovanje</t>
  </si>
  <si>
    <t>Health insurance contributions</t>
  </si>
  <si>
    <t>Prispevki za zaposlovanje</t>
  </si>
  <si>
    <t>Unemployment insurance contributions</t>
  </si>
  <si>
    <t>Prispevki za porodniško varstvo</t>
  </si>
  <si>
    <t>Maternity leave contributions</t>
  </si>
  <si>
    <t xml:space="preserve">IZDATKI ZA BLAGO IN STORITVE </t>
  </si>
  <si>
    <t>EXPENDITURE ON GOODS AND SERVICES</t>
  </si>
  <si>
    <t>Tekoča plačila drugim izvajalcem javnih služb, ki niso posredni proračunski uporabniki</t>
  </si>
  <si>
    <t>Current transfers to state agencies</t>
  </si>
  <si>
    <t>Študije o izvedljivosti projektov, projektna dokumentacija, nadzor in investicijski inženiring</t>
  </si>
  <si>
    <t>Dana posojila posameznikom in zasebnikom</t>
  </si>
  <si>
    <t>Lending to extra-budgetary funds</t>
  </si>
  <si>
    <t>Dana posojila javnim podjetjem in družbam, ki so v lasti države ali občin</t>
  </si>
  <si>
    <t>Dana posojila občinam</t>
  </si>
  <si>
    <t>Lending to other levels of General Government</t>
  </si>
  <si>
    <t>Lending to state agencies</t>
  </si>
  <si>
    <t>Povečanje kapitalskih deležev v javnih podjetjih in družbam, ki so v lasti države ali občin</t>
  </si>
  <si>
    <t>Plačila tradicionalnih lastnih sredstev v proračun Evropske unije</t>
  </si>
  <si>
    <t>Plačila sredstev v proračun EU iz naslova davka na dodano vrednost</t>
  </si>
  <si>
    <t>Plačila sredstev v proračun EU iz naslova bruto nacionalnega dohodka</t>
  </si>
  <si>
    <t>Najeti krediti pri Banki Slovenije</t>
  </si>
  <si>
    <t>Sredstva, pridobljena z izdajo vrednostnih papirjev na domačem trgu</t>
  </si>
  <si>
    <t>Loans from foreign governments</t>
  </si>
  <si>
    <t>Najeti krediti pri tujih poslovnih bankah in finančnih institucijah</t>
  </si>
  <si>
    <t>Sredstva, pridobljena z izdajo vrednostnih papirjev</t>
  </si>
  <si>
    <t>Odplačila dolga tujim vladam</t>
  </si>
  <si>
    <t>Odplačila dolga tujim poslovnim bankam in finančnim institucijam</t>
  </si>
  <si>
    <t>Davek od dohodkov pravnih oseb</t>
  </si>
  <si>
    <t>Prispevki samozaposlenih</t>
  </si>
  <si>
    <t>Taxes on sale of immovable property and on financial property</t>
  </si>
  <si>
    <t>Davek na dodano vrednost</t>
  </si>
  <si>
    <t>Drugi davki na uporabo blaga in storitev</t>
  </si>
  <si>
    <t>Motor vehicle tax</t>
  </si>
  <si>
    <t>Prihodki od udeležbe na dobičku in dividend ter presežkov prihodkov nad odhodki</t>
  </si>
  <si>
    <t>Povečanje premoženja v drugih pravnih osebah javnega prava, ki je v njihovi lasti</t>
  </si>
  <si>
    <t>Increase of assets held by other public entities</t>
  </si>
  <si>
    <t>Upravne takse in pristojbine</t>
  </si>
  <si>
    <t>Drugi prostovoljni prispevki za socialno varnost</t>
  </si>
  <si>
    <t>Prejete donacije in darila od domačih pravnih oseb</t>
  </si>
  <si>
    <t>Prejete donacije in darila od domačih fizičnih oseb</t>
  </si>
  <si>
    <t>Prejete donacije in darila od tujih nevladnih organizacij in fundacij</t>
  </si>
  <si>
    <t>Prejete donacije in darila od tujih vlad in vladnih institucij</t>
  </si>
  <si>
    <t>REPUBLIC OF SLOVENIA</t>
  </si>
  <si>
    <t>MINISTRY OF FINANCE</t>
  </si>
  <si>
    <t>Prejete donacije in darila od tujih pravnih oseb</t>
  </si>
  <si>
    <t>Prejete donacije in darila od tujih fizičnih oseb</t>
  </si>
  <si>
    <t>Transfers from the state budget</t>
  </si>
  <si>
    <t>Prejeta sredstva iz občinskih proračunov</t>
  </si>
  <si>
    <t>Prejeta sredstva iz skladov socialnega zavarovanja</t>
  </si>
  <si>
    <t>Prejeta sredstva iz javnih skladov</t>
  </si>
  <si>
    <t>Transfers from state agencies</t>
  </si>
  <si>
    <t>Repayments of loans from extrabudgetary funds</t>
  </si>
  <si>
    <t>Prejeta vračila danih posojil od privatnih podjetij</t>
  </si>
  <si>
    <t>Repayments of loans from other levels of general government</t>
  </si>
  <si>
    <t>Repayments of loans from state agencies</t>
  </si>
  <si>
    <t>Sredstva, pridobljena s prodajo kapitalskih deležev v javnih podjetjih in družbah, ki so v lasti države ali občin</t>
  </si>
  <si>
    <t>Sredstva, pridobljena s prodajo kapitalskih deležev v finančnih institucijah</t>
  </si>
  <si>
    <t>Sredstva, pridobljena s prodajo kapitalskih deležev v privatnih podjetjih</t>
  </si>
  <si>
    <t>Sredstva, pridobljena s prodajo drugih kapitalskih deležev</t>
  </si>
  <si>
    <t>Sredstva kupnin iz naslova privatizacije</t>
  </si>
  <si>
    <t xml:space="preserve">PREJETA VRAČILA DANIH POSOJIL IN </t>
  </si>
  <si>
    <t xml:space="preserve">REPAYMENTS OF LOANS AND </t>
  </si>
  <si>
    <t xml:space="preserve">PRODAJA KAPITALSKIH DELEŽEV </t>
  </si>
  <si>
    <t>SALES OF EQUITIES</t>
  </si>
  <si>
    <t xml:space="preserve">PREJETA VRAČILA DANIH POSOJIL </t>
  </si>
  <si>
    <t xml:space="preserve">REPAYMENTS OF LOANS </t>
  </si>
  <si>
    <t>Prejeta vračila danih posojil od posameznikov</t>
  </si>
  <si>
    <t>Repayments of loans from individuals</t>
  </si>
  <si>
    <t>Prejeta vračila danih posojil od javnih podjetij</t>
  </si>
  <si>
    <t>Repayments of loans from public enterprises</t>
  </si>
  <si>
    <t>Prejeta vračila danih posojil od finančnih institucij</t>
  </si>
  <si>
    <t>Repayments of loans from financial institutions</t>
  </si>
  <si>
    <t>Prejeta vračila danih posojil od privatnih podjetij in zaseb.</t>
  </si>
  <si>
    <t>Repayments of loans from private enterprises</t>
  </si>
  <si>
    <t>Prejeta vračila danih posojil od drugih ravni države</t>
  </si>
  <si>
    <t>Repayments of loans from other levels of Government</t>
  </si>
  <si>
    <t>Prejeta vračila danih posojil iz državnega proračuna</t>
  </si>
  <si>
    <t>Repayments of loans from the State Budget</t>
  </si>
  <si>
    <t>Prejeta vračila danih posojil iz tujine</t>
  </si>
  <si>
    <t>Repayments of loans from abroad</t>
  </si>
  <si>
    <t xml:space="preserve">Prodaja kapit.deležev v javnih podjetjih </t>
  </si>
  <si>
    <t>Sales of equities in public enterprises</t>
  </si>
  <si>
    <t>Prodaja kapit. deležev v finančnih institucijah</t>
  </si>
  <si>
    <t>Sales of equities in financial institutions</t>
  </si>
  <si>
    <t>Prodaja kapit.deležev v privatnih podjetjih</t>
  </si>
  <si>
    <t>Sales of equities in private enterprises</t>
  </si>
  <si>
    <t xml:space="preserve">KUPNINE IZ NASLOVA PRIVATIZACIJE </t>
  </si>
  <si>
    <t>Povečanje kapitalskih deležev v javnih podjetjih</t>
  </si>
  <si>
    <t>Acquisition of equities in public enterprises</t>
  </si>
  <si>
    <t>Povečanje kapitalskih deležev v finančnih institucijah</t>
  </si>
  <si>
    <t>Acquisition of equities in financial institutions</t>
  </si>
  <si>
    <t>Povečanje kapitalskih deležev v privatnih podjetjih</t>
  </si>
  <si>
    <t>Acquisition of equities in private enterprises</t>
  </si>
  <si>
    <t>Skupna vlaganja (joint ventures)</t>
  </si>
  <si>
    <t>Acquisition of equities in joint ventures</t>
  </si>
  <si>
    <t>Povečanje kapitalskih deležev v tujino</t>
  </si>
  <si>
    <t>Acquisition of equities abroad</t>
  </si>
  <si>
    <t>PORABA SREDSTEV KUPNIN IZ NASLOVA PRIVATIZACIJE</t>
  </si>
  <si>
    <t>USE OF PRIVATISATION RECEIPTS</t>
  </si>
  <si>
    <t>Dana posojila iz sredstev kupnin</t>
  </si>
  <si>
    <t>Lending from privatisation receipts</t>
  </si>
  <si>
    <t>Sredstva kupnin, razporejena v javne sklade in agencije</t>
  </si>
  <si>
    <t>Transfers of privatisation receipts to extrabudgetary funds</t>
  </si>
  <si>
    <t>VI.</t>
  </si>
  <si>
    <t>PREJETA MINUS DANA POSOJILA</t>
  </si>
  <si>
    <t>IN SPREMEMBE KAPITALSKIH DELEŽEV</t>
  </si>
  <si>
    <t>(IV. - V.)</t>
  </si>
  <si>
    <t xml:space="preserve"> (IV. - V.)</t>
  </si>
  <si>
    <t>VII.</t>
  </si>
  <si>
    <t>SKUPNI PRESEŽEK (PRIMANJKLJAJ)VKLJUČNO</t>
  </si>
  <si>
    <t xml:space="preserve">O V E R A L L  SURPLUS (DEFICIT) </t>
  </si>
  <si>
    <t>S SALDOM DANIH MINUS VRNJENIH POSOJIL</t>
  </si>
  <si>
    <t>(REVENUES MINUS EXPENDITURE</t>
  </si>
  <si>
    <t xml:space="preserve"> (I. +IV.) - (II.+V.)</t>
  </si>
  <si>
    <t>AND LENDING MINUS REPAYMENTS</t>
  </si>
  <si>
    <t xml:space="preserve"> (I. + IV.) - (II.+ V.)</t>
  </si>
  <si>
    <t xml:space="preserve">ZADOLŽEVANJE  </t>
  </si>
  <si>
    <t xml:space="preserve">BORROWING  </t>
  </si>
  <si>
    <t>DOMAČE ZADOLŽEVANJE</t>
  </si>
  <si>
    <t>DOMESTIC BORROWING</t>
  </si>
  <si>
    <t>Najeti krediti pri  Banki Slovenije</t>
  </si>
  <si>
    <t>Loans from Bank of Slovenia</t>
  </si>
  <si>
    <t>Najeti krediti pri poslovnih bankah</t>
  </si>
  <si>
    <t>Loans from commercial banks</t>
  </si>
  <si>
    <t>Najeti krediti pri drugih finančnih institucijah</t>
  </si>
  <si>
    <t>Loans from other financial institutions</t>
  </si>
  <si>
    <t>Najeti krediti pri drugih domačih kreditodajalcih</t>
  </si>
  <si>
    <t>Loans from other domestic debtholders</t>
  </si>
  <si>
    <t>Najeti krediti pri skladih socialnega zavarovanja</t>
  </si>
  <si>
    <t>Loans from social security Funds</t>
  </si>
  <si>
    <t xml:space="preserve">Sredstva, pridobljena z izdajo vrednostnih papirjev </t>
  </si>
  <si>
    <t>Issues of government domestic securities</t>
  </si>
  <si>
    <t>ZADOLŽEVANJE V TUJINI</t>
  </si>
  <si>
    <t>EXTERNAL BORROWING</t>
  </si>
  <si>
    <t>Najeti krediti pri mednarodnih finančnih institucijah</t>
  </si>
  <si>
    <t>Loans from international financial institutions</t>
  </si>
  <si>
    <t>Najeti krediti pri tujih vladah</t>
  </si>
  <si>
    <t>Loans from foreign Governments</t>
  </si>
  <si>
    <t>Najeti krediti pri tujih poslovnih bankah in finanč.institucijah</t>
  </si>
  <si>
    <t>Loans from foreign commercial banks and financial institutions</t>
  </si>
  <si>
    <t>Najeti krediti pri drugih tujih kreditodajalcih</t>
  </si>
  <si>
    <t>Loans from other foreign debtholders</t>
  </si>
  <si>
    <t>Issues of government securities abroad</t>
  </si>
  <si>
    <t xml:space="preserve"> IX.</t>
  </si>
  <si>
    <t xml:space="preserve">ODPLAČILA  DOLGA  </t>
  </si>
  <si>
    <t xml:space="preserve">AMORTIZATION OF DEBT </t>
  </si>
  <si>
    <t xml:space="preserve">ODPLAČILA DOMAČEGA DOLGA </t>
  </si>
  <si>
    <t>AMORTIZATION OF DOMESTIC DEBT</t>
  </si>
  <si>
    <t>Odplačila kreditov Banki Slovenije</t>
  </si>
  <si>
    <t>Amortization of loans from Bank of Slovenia</t>
  </si>
  <si>
    <t>Odplačila kreditov poslovnim bankam</t>
  </si>
  <si>
    <t>Amortization of loans from commercial banks</t>
  </si>
  <si>
    <t>Odplačila kreditov drugim finančnim institucijam</t>
  </si>
  <si>
    <t>Amortization of loans from other financial institutions</t>
  </si>
  <si>
    <t>REVENUES AND EXPENDITURE</t>
  </si>
  <si>
    <t>BILANCA PRIHODKOV IN ODHODKOV</t>
  </si>
  <si>
    <t>PRIMARY SURPLUS (DEFICIT)</t>
  </si>
  <si>
    <t>INVESTICIJSKI ODHODKI</t>
  </si>
  <si>
    <t>Odplačila kreditov drugim domačim kreditodajalcem</t>
  </si>
  <si>
    <t>Amortization of loans from other domestic debtholders</t>
  </si>
  <si>
    <t>Amortization of loans from social security Funds</t>
  </si>
  <si>
    <t>Odplačila glavnice vrednostnih papirjev</t>
  </si>
  <si>
    <t>Amortization of government securities</t>
  </si>
  <si>
    <t>ODPLAČILA DOLGA V TUJINO</t>
  </si>
  <si>
    <t>AMORTIZATION OF EXTERNAL DEBT</t>
  </si>
  <si>
    <t>Odplačila dolga mednarodnim finančnim institucijam</t>
  </si>
  <si>
    <t>Amortization of loans from international financial institutions</t>
  </si>
  <si>
    <t xml:space="preserve">Odplačila dolga tujim vladam </t>
  </si>
  <si>
    <t>Amortization of loans from foreign Governments</t>
  </si>
  <si>
    <t>Odplačila dolga tujim bankam in finančnim institucijam</t>
  </si>
  <si>
    <t>Amortization of loans from commercial banks and other financial institutions</t>
  </si>
  <si>
    <t>Odplačila dolga drugim tujim kreditodajalcem</t>
  </si>
  <si>
    <t>Amortization of loans from other foreign debtholders</t>
  </si>
  <si>
    <t>X.</t>
  </si>
  <si>
    <t>XI.</t>
  </si>
  <si>
    <t xml:space="preserve">POVEČANJE (ZMANJŠANJE) </t>
  </si>
  <si>
    <t>CHANGES IN CASH AND DEPOSITS</t>
  </si>
  <si>
    <t>C.</t>
  </si>
  <si>
    <t>R A Č U N    F I N A N C I R A N J A</t>
  </si>
  <si>
    <t>A.</t>
  </si>
  <si>
    <t xml:space="preserve">BILANCA PRIHODKOV IN ODHODKOV </t>
  </si>
  <si>
    <t>1 9 9 3</t>
  </si>
  <si>
    <t>1 9 9 4</t>
  </si>
  <si>
    <t>1 9 9 5</t>
  </si>
  <si>
    <t>1 9 9 6</t>
  </si>
  <si>
    <t>1 9 9 7</t>
  </si>
  <si>
    <t>1 9 9 8</t>
  </si>
  <si>
    <t xml:space="preserve"> VIII.</t>
  </si>
  <si>
    <t>Odplačila skladom socialnega zavarovanja</t>
  </si>
  <si>
    <t>IX.</t>
  </si>
  <si>
    <t>SREDSTEV NA RAČUNIH (I.+IV.+VII.-II.-V.-VIII.)</t>
  </si>
  <si>
    <t>NETO FINANCIRANJE  (VI.+VII.-VIII.-IX. = -III.)</t>
  </si>
  <si>
    <t>OB SPREJETEM PRORAČUNU ZA LETO  1  9  9  9</t>
  </si>
  <si>
    <t>OB SPREJETEM PRORAČUNU  ZA  LETO    1  9  9  9</t>
  </si>
  <si>
    <t>1 9 9 9</t>
  </si>
  <si>
    <t>NOVA OCENA UMAR:</t>
  </si>
  <si>
    <t xml:space="preserve">LENDING MINUS REPAYMENTS </t>
  </si>
  <si>
    <t>...</t>
  </si>
  <si>
    <t>(I.+IV.+VII.-II.-V.-VIII.)</t>
  </si>
  <si>
    <t>NET FINANCING  (VI.+VII.-VIII.-IX. = -III.)</t>
  </si>
  <si>
    <t>Drugi davki na uporabo blaga ali opravljanje storitev (vodna povračila.prenoč.taksa,odškod.za spr.namemb.,požarna taksa)</t>
  </si>
  <si>
    <t>Davek na promet motornih vozil</t>
  </si>
  <si>
    <t>(400+401+402+403+404+409+413300+413301+413302)</t>
  </si>
  <si>
    <t>PLAČE IN DRUGI IZDATKI ZAPOSLENIM (400 + 413300)</t>
  </si>
  <si>
    <t>PLAČE IN DRUGI IZDATKI ZAPOSLENIM V DRŽAVNIH ORGANIH</t>
  </si>
  <si>
    <t>PLAČE IN DRUGI IZDATKI ZAPOSLENIM V JAVNIH ZAVODIH</t>
  </si>
  <si>
    <t>PRISPEVKI DELODAJALCEV ZA SOCIALNO VARNOST (401+413301)</t>
  </si>
  <si>
    <t>PRISPEVKI DELODAJALCEV ZA SOCIALNO VARNOST V JAVNIH ZAVODIH</t>
  </si>
  <si>
    <t>IZDATKI ZA BLAGO IN STORITVE (402 + 413302)</t>
  </si>
  <si>
    <t>IZDATKI ZA BLAGO IN STORITVE  V JAVNIH ZAVODIH</t>
  </si>
  <si>
    <t>Povečanje kapitalskih deležev države iz sredstev kupnin</t>
  </si>
  <si>
    <t>NET FINANCING (VI.+VII.-VIII.-IX. = -III.)</t>
  </si>
  <si>
    <t>SPREJETI PRORAČUNI OZ. DOPOLNJENI FINANČNI NAČRTI ZA LETO   2 0 0 0</t>
  </si>
  <si>
    <t>PRORAČUNI (FINANČNI NAČRTI)  ZA  LETO    2 0 0 0</t>
  </si>
  <si>
    <t>JAVNOFINANČNI PRESEŽEK</t>
  </si>
  <si>
    <t xml:space="preserve">(JAVNOFINANČNI PRIMANJKLJAJ)   </t>
  </si>
  <si>
    <t>VIII.</t>
  </si>
  <si>
    <t>v tem: odplačila kreditov državnemu proračunu</t>
  </si>
  <si>
    <t>PRISPEVKI DELODAJALCEV ZA SOCIALNO VARNOST V DRŽ.ORG.</t>
  </si>
  <si>
    <t>IZDATKI ZA BLAGO IN STORITVE V DRŽAVNIH ORGANIH</t>
  </si>
  <si>
    <t>Plačila obresti od vrednostnih papirjev, izdanih na tujih trgih</t>
  </si>
  <si>
    <t>Povečanje drugih finančnih naložb</t>
  </si>
  <si>
    <t>Odplačila glavnice vrednostnih papirjev, izdanih na tujih trgih</t>
  </si>
  <si>
    <t>PROJEKCIJE ZA LETO  2 0 0 1 OB SPREJETJU DRŽAVNEGA PRORAČUNA ZA LETO 2001</t>
  </si>
  <si>
    <t>GENERAL GOVERNMENT REVENUES AND EXPENDITURE</t>
  </si>
  <si>
    <t>P R O J E K C I J E   Z A   L E T O    2  0  0  1</t>
  </si>
  <si>
    <t>Tekoči transferi v državni proračun</t>
  </si>
  <si>
    <t>B.</t>
  </si>
  <si>
    <t xml:space="preserve">RAČUN FINANČNIH TERJATEV IN NALOŽB </t>
  </si>
  <si>
    <t>GENERAL GOVERNMENT LENDING AND REPAYMENTS</t>
  </si>
  <si>
    <t>GENERAL GOVERNMENT  F I N A N C I N G</t>
  </si>
  <si>
    <t>…</t>
  </si>
  <si>
    <t>C O N S O L I D A T E D   G E N E R A L   G O V E R N M E N T   A C C O U N T S</t>
  </si>
  <si>
    <t>AND HEALTH INSURANCE FUND</t>
  </si>
  <si>
    <t xml:space="preserve">PLAČE IN DRUGI IZDATKI ZAPOSLENIM </t>
  </si>
  <si>
    <t>WAGES AND OTHER PERSONNEL EXPENDITURE</t>
  </si>
  <si>
    <t>PURCHASES OF GOODS AND SERVICES</t>
  </si>
  <si>
    <t>PRIMARNI PRESEŽEK (PRIMANJKLJAJ)</t>
  </si>
  <si>
    <t>Prejeta vračila danih posojil od posameznikov in zasebnikov</t>
  </si>
  <si>
    <t>Prejeta vračila danih posojil - od javnih skladov</t>
  </si>
  <si>
    <t>Prejeta vračila danih posojil od javnih podjetij in družb, ki so v lasti države ali občin</t>
  </si>
  <si>
    <t>Prejeta vračila danih posojil - od finančnih institucij</t>
  </si>
  <si>
    <t>Prejeta vračila danih posojil od občin</t>
  </si>
  <si>
    <t>Prejeta vračila danih posojil - iz tujine</t>
  </si>
  <si>
    <t>Prejeta vračila danih posojil državnemu proračunu</t>
  </si>
  <si>
    <t>Prejeta vračila danih posojil od javnih agencij</t>
  </si>
  <si>
    <t>Prejeta vračila plačanih poroštev</t>
  </si>
  <si>
    <t>GENERAL GOVERNMENT  BORROWING AND AMORTIZATION OF DEBT</t>
  </si>
  <si>
    <t>Odplačila glavnice vrednostnih papirjev, izdanih na domačem trgu</t>
  </si>
  <si>
    <t>STATE BUDGET, LOCAL BUDGETS, PENSION AND DISABILITY INSURANCE FUND</t>
  </si>
  <si>
    <t>(SKUPAJ PRIHODKI MINUS SKUPAJ ODHODKI)</t>
  </si>
  <si>
    <t>Dobički fiskalnih monopolov</t>
  </si>
  <si>
    <t>bdp</t>
  </si>
  <si>
    <t>Prejeta sredstva iz javnih agencij</t>
  </si>
  <si>
    <t>Capital transfers to non-profit institutions</t>
  </si>
  <si>
    <t>Capital transfers to public institutions</t>
  </si>
  <si>
    <t>EMPLOYER'S SOCIAL SECURITY CONTRIBUTIONS</t>
  </si>
  <si>
    <t>GENERAL GOVERNMENT BUDGETS LENDING AND REPAYMENTS</t>
  </si>
  <si>
    <t>ZA LETO  2 0 0 3 OB SPREJETJU SPREMEMB DRŽAVNEGA PRORAČUNA ZA LETO 2003</t>
  </si>
  <si>
    <t xml:space="preserve">   2  0  0  3</t>
  </si>
  <si>
    <t>2  0  0  3</t>
  </si>
  <si>
    <t>Sredstva za posebne namene</t>
  </si>
  <si>
    <t>Prejeta vračila danih posojil od javnih skladov</t>
  </si>
  <si>
    <t>Prejeta vračila danih posojil od finačnih institucij</t>
  </si>
  <si>
    <t>POVEČANJE NAMENSKEGA PREMOŽENJA</t>
  </si>
  <si>
    <t>Povečanje namenskega premoženja v javnih skladih</t>
  </si>
  <si>
    <t xml:space="preserve">   2  0  0  4</t>
  </si>
  <si>
    <t>ZA LETO  2 0 0 4 OB SPREJETJU  DRŽAVNEGA PRORAČUNA ZA LETO 2004</t>
  </si>
  <si>
    <t>Davki na posebne storitve(pos.pr.d.na poseb.igre na srečo)</t>
  </si>
  <si>
    <t>Davki na posebne storitve (pos.pr.d.na poseb.igre na srečo)</t>
  </si>
  <si>
    <t>PREJETA SREDSTVA IZ EVROPSKE UNIJE</t>
  </si>
  <si>
    <t>PREDPRISTOPNA SREDSTVA EU</t>
  </si>
  <si>
    <t>Prejeta sredtsva PHARE</t>
  </si>
  <si>
    <t>Prejeta sredtsva ISPA</t>
  </si>
  <si>
    <t>Prejeta sredtsva SAPARD</t>
  </si>
  <si>
    <t>Sredstva iz naslova tržnih ukrepov v kmetijstvu</t>
  </si>
  <si>
    <t>Sredstva iz naslova neposrednih plačil v kmetijstvu</t>
  </si>
  <si>
    <t>Drugi davki na dohodek in dobiček</t>
  </si>
  <si>
    <t>Other taxes on revenue and profit</t>
  </si>
  <si>
    <t>Sredstva iz naslova programa razvoja podeželja</t>
  </si>
  <si>
    <t>PREJETA SREDSTVA IZ PRORAČUNA EU ZA IZVAJANJE SKUPNE KMETIJSKE POLITIKE</t>
  </si>
  <si>
    <t>Dana posojila javnim agencijam</t>
  </si>
  <si>
    <t>Prejeta sredstva iz Evropskega kmetijskega jamstvenega in usmerjevalnega sklada (EAGGF)</t>
  </si>
  <si>
    <t>Prejeta sredstva iz Evropskega sklada za regionalni razvoj (ERDF)</t>
  </si>
  <si>
    <t>Prejeta sredstva iz Evropskega socialnega sklada (EFS)</t>
  </si>
  <si>
    <t>Prejeta sredstva iz naslova Finančnega instrumenta za usmerjanje ribištva (FIFG)</t>
  </si>
  <si>
    <t>PREJETA SREDSTVA IZ PRORAČUNA  E U  ZA STRUKTURNO POLITIKO</t>
  </si>
  <si>
    <t>Prejeta sredstva iz Kohezijskega sklada (CF)</t>
  </si>
  <si>
    <t>PREJETA SREDSTVA IZ PRORAČUNA  E U  ZA KOHEZIJSKO POLITIKO</t>
  </si>
  <si>
    <t>Prejeta sredstva iz Proračuna EU za Schengensko mejo</t>
  </si>
  <si>
    <t>Druga prejeta sredstva iz Proračuna EU za izvajanje notranje politike</t>
  </si>
  <si>
    <t>PREJETA SREDSTVA IZ PRORAČUNA EU  ZA IZVAJANJE NOTRANJE  POLITIKE</t>
  </si>
  <si>
    <t>Prejeta sredstva iz Proračuna EU iz naslova pavšalnih povračil za krepitev denarnega trga</t>
  </si>
  <si>
    <t>Prejeta sredstva iz Proračuna EU iz naslova pavšalnih povračil za proračunsko izravnavo</t>
  </si>
  <si>
    <t>PREJETA SREDSTVA IZ PRORAČUNA EU IZ NASLOVA PAVŠALNIH POVRAČIL</t>
  </si>
  <si>
    <t>Ostala prejeta sredstva iz Proračuna Evropske unije</t>
  </si>
  <si>
    <t>OSTALA PREJETA SREDSTVA IZ PRORAČUNA EVROPSKE UNIJE</t>
  </si>
  <si>
    <t>Prejeta sredstva od drugih evropskih institucij</t>
  </si>
  <si>
    <t>PREJETA SREDSTVA OD DRUGIH  EVROPSKIH INSTITUCIJ</t>
  </si>
  <si>
    <t>PLAČILA V PRORAČUN EVROPSKE UNIJE</t>
  </si>
  <si>
    <t>PLAČILA SREDSTEV V PRORAČUN EVROPSKE UNIJE</t>
  </si>
  <si>
    <t>PLAČILA TRADICIONALNIH LASTNIH SREDSTEV V  PRORAČUN EU</t>
  </si>
  <si>
    <t>Plačila v Proračun EU iz naslova carin</t>
  </si>
  <si>
    <t>Plačila v Proračun EU iz naslova posebnih davščin pri uvozu kmetijskih proizvodov in živil</t>
  </si>
  <si>
    <t>Plačila v Proračun EU iz naslova sladkorne dajatve</t>
  </si>
  <si>
    <t>PLAČILA V PRORAČUN EU IZ NASLOVA DAVKA NA DODANO VREDNOST</t>
  </si>
  <si>
    <t xml:space="preserve">Plačila v Proračun EU iz naslova davka na dodano vrednost </t>
  </si>
  <si>
    <t>PLAČILA V PRORAČUN EU IZ NASLOVA BRUTO NACIONALNEGA DOHODKA</t>
  </si>
  <si>
    <t xml:space="preserve">Plačila v Proračun EU iz naslova bruto nacionalnega dohodka </t>
  </si>
  <si>
    <t>PLAČILA V PRORAČUN EU IZ NASLOVA OPRAVKA V KORIST VELIKE BRITANIJE</t>
  </si>
  <si>
    <t>Plačila v Proračun EU iz naslova popravka v korist Velike Britanije</t>
  </si>
  <si>
    <t xml:space="preserve">ZA LETO 2004  </t>
  </si>
  <si>
    <t>SCENARIJ VIŠJE RASTI</t>
  </si>
  <si>
    <t>ZA LETO 2005</t>
  </si>
  <si>
    <t>ZA LETO 2006</t>
  </si>
  <si>
    <t>ZA LETO 2007</t>
  </si>
  <si>
    <t>Sredstva prenesena drugim LS</t>
  </si>
  <si>
    <t>investicije (LS)</t>
  </si>
  <si>
    <t>dodatne obveznosti (ZPIZ)</t>
  </si>
  <si>
    <t xml:space="preserve">druga tek.poraba(LS)/azbestniki (ZPIZ) </t>
  </si>
  <si>
    <t>prejeta sr.iz naslova PIZ za porodniško</t>
  </si>
  <si>
    <t>prisp. delodaj. za ZZ za porodniško</t>
  </si>
  <si>
    <t>prejeta sr.iz naslova PIZ za brezposelnost</t>
  </si>
  <si>
    <t>Pisarniški in splošni material in storitve</t>
  </si>
  <si>
    <t>Office and general materials and services</t>
  </si>
  <si>
    <t>Posebni materiali in storitve</t>
  </si>
  <si>
    <t>Specialized materials and services</t>
  </si>
  <si>
    <t>Energija, voda, komunalne storitve in komunikacije</t>
  </si>
  <si>
    <t>Utilities</t>
  </si>
  <si>
    <t>Prevozni stroški in storitve</t>
  </si>
  <si>
    <t>Transport expenses</t>
  </si>
  <si>
    <t>Izdatki za službena potovanja</t>
  </si>
  <si>
    <t>Travel expenses</t>
  </si>
  <si>
    <t>Tekoče vzdrževanje</t>
  </si>
  <si>
    <t>Routine maintenance</t>
  </si>
  <si>
    <t xml:space="preserve">Najemnine in zakupnine </t>
  </si>
  <si>
    <t>Rentals and leasing</t>
  </si>
  <si>
    <t xml:space="preserve">Kazni in odškodnine </t>
  </si>
  <si>
    <t>Legal dues and compensations</t>
  </si>
  <si>
    <t>Drugi operativni odhodki</t>
  </si>
  <si>
    <t>Other operational expenditure</t>
  </si>
  <si>
    <t>Plačila storitev DURS</t>
  </si>
  <si>
    <t xml:space="preserve">Payments for  DURS </t>
  </si>
  <si>
    <t>PLAČILA DOMAČIH OBRESTI</t>
  </si>
  <si>
    <t>DOMESTIC INTEREST PAYMENTS</t>
  </si>
  <si>
    <t>Plačila obresti od kreditov Banki Slovenije</t>
  </si>
  <si>
    <t>Interest payments for loans to Bank of Slovenia</t>
  </si>
  <si>
    <t>Plačila obresti od kreditov poslovnim bankam</t>
  </si>
  <si>
    <t>Interest payments for loans to commercial banks</t>
  </si>
  <si>
    <t>Plačila obresti od kreditov drugim finančnim instituc.</t>
  </si>
  <si>
    <t>Interest payments for loans to other financial institutions</t>
  </si>
  <si>
    <t>Plačila obresti od kreditov drugim kreditodajalcem</t>
  </si>
  <si>
    <t>Interest payments for loans to other domestic debtholders</t>
  </si>
  <si>
    <t>Plačila obresti od vrednostnih papirjev</t>
  </si>
  <si>
    <t>Interest payments for government bonds</t>
  </si>
  <si>
    <t>PLAČILA OBRESTI V TUJINO</t>
  </si>
  <si>
    <t>EXTERNAL INTEREST PAYMENTS</t>
  </si>
  <si>
    <t>Plačila obresti mednarodnim finančnim institucijam</t>
  </si>
  <si>
    <t>Interest payments to international financial institutions</t>
  </si>
  <si>
    <t xml:space="preserve">Plačila obresti tujim vladam </t>
  </si>
  <si>
    <t>Interest payments to foreign Governments</t>
  </si>
  <si>
    <t>Plačila obresti tujim bankam in finanč.instituc.</t>
  </si>
  <si>
    <t>Interest payments to commercial banks and other financial institutions</t>
  </si>
  <si>
    <t>Plačila obresti drugim tujim kreditodajalcem</t>
  </si>
  <si>
    <t>Interest payments to other foreign debtholders</t>
  </si>
  <si>
    <t>SREDSTVA, IZLOČENA V REZERVE</t>
  </si>
  <si>
    <t>RESERVES</t>
  </si>
  <si>
    <t>Tekoča proračunska rezerva</t>
  </si>
  <si>
    <t>General budgetary reserves</t>
  </si>
  <si>
    <t>Rezerva za naravne nesreče</t>
  </si>
  <si>
    <t>National disasters reserves</t>
  </si>
  <si>
    <t>Druge rezerve</t>
  </si>
  <si>
    <t>Other reserves</t>
  </si>
  <si>
    <t>TEKOČI TRANSFERI</t>
  </si>
  <si>
    <t>CURRENT TRANSFERS</t>
  </si>
  <si>
    <t>(410+411+412+413+414)</t>
  </si>
  <si>
    <t>SUBVENCIJE</t>
  </si>
  <si>
    <t>SUBSIDIES</t>
  </si>
  <si>
    <t>Subvencije javnim podjetjem</t>
  </si>
  <si>
    <t>Subsidies to public enterprises</t>
  </si>
  <si>
    <t>Subvencije finančnim institucijam</t>
  </si>
  <si>
    <t>Subsidies to financial institutions</t>
  </si>
  <si>
    <t>Subvencije privatnim podjetjem in zasebnikom</t>
  </si>
  <si>
    <t>Subsidies to private enterprises</t>
  </si>
  <si>
    <t>TRANSFERI POSAMEZNIKOM IN GOSPODINJSTVOM</t>
  </si>
  <si>
    <t>TRANSFERS TO INDIVIDUALS AND HOUSEHOLDS</t>
  </si>
  <si>
    <t>Transferi nezaposlenim</t>
  </si>
  <si>
    <t>Unemployed allowances</t>
  </si>
  <si>
    <t>Družinski prejemki in starševska nadomestila</t>
  </si>
  <si>
    <t>Child allowances</t>
  </si>
  <si>
    <t>Transferi za zagotavljanje socialne varnosti</t>
  </si>
  <si>
    <t>Social security allowances</t>
  </si>
  <si>
    <t>Transferi vojnim invalidom, veteranom in žrtvam vojn.nasilja</t>
  </si>
  <si>
    <t>war invalids, war veterans and war victims allowances</t>
  </si>
  <si>
    <t>Pokojnine</t>
  </si>
  <si>
    <t>Pensions</t>
  </si>
  <si>
    <t xml:space="preserve">Nadomestila plač </t>
  </si>
  <si>
    <t>Salary compensations</t>
  </si>
  <si>
    <t>Boleznine</t>
  </si>
  <si>
    <t>Sick leave compensations</t>
  </si>
  <si>
    <t>Štipendije</t>
  </si>
  <si>
    <t>Scholarships</t>
  </si>
  <si>
    <t>Drugi transferi posameznikom</t>
  </si>
  <si>
    <t>Other transfers to individuals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</si>
  <si>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</si>
  <si>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</si>
  <si>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1) Podatki pred letom 2007 so preračunani po nepreklicnem tečaju zamenjave 239,64 tolarjev za en evro.</t>
  </si>
  <si>
    <t>1) Before 2007 the data are converted according to the irrevocably fixed exchange rate of 239.64 tolars per euro.</t>
  </si>
  <si>
    <t>OTHER  TAXES</t>
  </si>
  <si>
    <t>SALARIES, WAGES AND OTHER  PERSONNEL EXPENDITURES</t>
  </si>
  <si>
    <t>Current transfers to other government institutions -  Salaries, wages and other personnel expenditure</t>
  </si>
  <si>
    <t>Current transfers to other government institutions -  Social security contributions</t>
  </si>
  <si>
    <t>Major  maintenance and renovation</t>
  </si>
  <si>
    <t>Lending to the  state budget</t>
  </si>
  <si>
    <t/>
  </si>
  <si>
    <t>DRUGI DAVKI IN PRISPEVKI</t>
  </si>
  <si>
    <t>Drugi davki in prispevki</t>
  </si>
  <si>
    <t>PREJETA SREDSTVA IZ EVROPSKE UNIJE IN IZ DRUGIH DRŽAV</t>
  </si>
  <si>
    <t>PREJETA SREDSTVA OD DRUGIH EVROPSKIH INSTITUCIJ IN IZ DRUGIH DRŽAV</t>
  </si>
  <si>
    <t>Plačila sredstev v proračun EU iz naslova popravkov BND vira v korist drugih držav</t>
  </si>
  <si>
    <t>Payments of the GNI correction into the EU Budget</t>
  </si>
  <si>
    <t>TRANSFERS RECEIVED FROM THE STATE BUDGET PROVIDED FROM THE EU BUDGET APPROPRIATIONS AND OTHER COUNTRIES</t>
  </si>
  <si>
    <t>PREJETA SREDSTVA IZ DRŽAVNEGA PRORAČUNA IZ SREDSTEV PRORAČUNA EVROPSKE UNIJE IN IZ DRUGIH DRŽAV</t>
  </si>
  <si>
    <t xml:space="preserve">PRESEŽEK (PRIMANJKLJAJ)   </t>
  </si>
  <si>
    <t>CONSOLIDATED PUBLIC FINANCE BUDGETARY ACCOUNTS</t>
  </si>
  <si>
    <t>CONSOLIDATED STATE BUDGET, MUNICIPAL BUDGETS AND SOCIAL SECURITY FUNDS (PENSION AND DISABILITY INSURANCE FUND AND HEALTH INSURANCE FUND)</t>
  </si>
  <si>
    <t>Plačila sredstev v proračun EU iz naslova nereciklirane plastične embalaže</t>
  </si>
  <si>
    <t>Plačila sredstev v proračun EU iz naslova bruto znižanja letnega prispevka iz naslova BND v korist nekaterih držav</t>
  </si>
  <si>
    <t xml:space="preserve">Payments of non-recycled plastic packaging into the EU Budget </t>
  </si>
  <si>
    <t>Payments of gross reduction in annual GNI-based contribution into the EU Budget</t>
  </si>
  <si>
    <t>ay</t>
  </si>
  <si>
    <t>TEKOCI PRIHODKI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</si>
</sst>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,##0.000"/>
    <numFmt numFmtId="167" formatCode="&quot;$&quot;#,##0\ ;\(&quot;$&quot;#,##0\)"/>
  </numFmts>
  <fonts count="36" x14ac:knownFonts="1">
    <font>
      <sz val="12"/>
      <name val="Arial"/>
      <charset val="238"/>
    </font>
    <font>
      <sz val="12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name val="Arial"/>
      <family val="2"/>
      <charset val="238"/>
    </font>
    <font>
      <b/>
      <sz val="11"/>
      <name val="Arial"/>
      <family val="2"/>
    </font>
    <font>
      <b/>
      <u/>
      <sz val="12"/>
      <name val="Arial"/>
      <family val="2"/>
    </font>
    <font>
      <b/>
      <sz val="14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6"/>
      <name val="Arial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4"/>
      <color indexed="81"/>
      <name val="Tahoma"/>
      <family val="2"/>
    </font>
    <font>
      <b/>
      <sz val="20"/>
      <name val="Arial"/>
      <family val="2"/>
      <charset val="238"/>
    </font>
    <font>
      <u/>
      <sz val="12"/>
      <name val="Arial"/>
      <family val="2"/>
      <charset val="238"/>
    </font>
    <font>
      <sz val="12"/>
      <color indexed="8"/>
      <name val="Arial"/>
      <family val="2"/>
      <charset val="238"/>
    </font>
    <font>
      <b/>
      <sz val="16"/>
      <color indexed="8"/>
      <name val="Arial"/>
      <family val="2"/>
      <charset val="238"/>
    </font>
    <font>
      <b/>
      <sz val="12"/>
      <color indexed="8"/>
      <name val="Arial"/>
      <family val="2"/>
      <charset val="238"/>
    </font>
    <font>
      <sz val="10"/>
      <color indexed="24"/>
      <name val="Arial"/>
      <family val="2"/>
      <charset val="238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26"/>
      <name val="Arial"/>
      <family val="2"/>
      <charset val="238"/>
    </font>
    <font>
      <sz val="14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2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34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4"/>
        <bgColor indexed="64"/>
      </patternFill>
    </fill>
  </fills>
  <borders count="9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3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0">
      <alignment vertical="top"/>
    </xf>
    <xf numFmtId="0" fontId="29" fillId="0" borderId="1" applyNumberFormat="0" applyFont="0" applyFill="0" applyAlignment="0" applyProtection="0"/>
  </cellStyleXfs>
  <cellXfs count="589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1" fillId="0" borderId="0" xfId="0" applyNumberFormat="1" applyFont="1" applyFill="1" applyBorder="1" applyAlignment="1"/>
    <xf numFmtId="0" fontId="1" fillId="0" borderId="0" xfId="0" applyFont="1"/>
    <xf numFmtId="0" fontId="5" fillId="0" borderId="0" xfId="0" applyFont="1"/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/>
    <xf numFmtId="0" fontId="5" fillId="2" borderId="4" xfId="0" applyNumberFormat="1" applyFont="1" applyFill="1" applyBorder="1" applyAlignment="1"/>
    <xf numFmtId="0" fontId="1" fillId="0" borderId="5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5" fillId="2" borderId="6" xfId="0" applyNumberFormat="1" applyFont="1" applyFill="1" applyBorder="1" applyAlignment="1">
      <alignment horizontal="right"/>
    </xf>
    <xf numFmtId="0" fontId="1" fillId="0" borderId="7" xfId="0" applyNumberFormat="1" applyFont="1" applyFill="1" applyBorder="1" applyAlignment="1"/>
    <xf numFmtId="0" fontId="5" fillId="2" borderId="8" xfId="0" applyNumberFormat="1" applyFont="1" applyFill="1" applyBorder="1" applyAlignment="1"/>
    <xf numFmtId="0" fontId="1" fillId="0" borderId="8" xfId="0" applyNumberFormat="1" applyFont="1" applyFill="1" applyBorder="1" applyAlignment="1"/>
    <xf numFmtId="0" fontId="5" fillId="0" borderId="8" xfId="0" applyNumberFormat="1" applyFont="1" applyFill="1" applyBorder="1" applyAlignment="1"/>
    <xf numFmtId="0" fontId="1" fillId="2" borderId="8" xfId="0" applyNumberFormat="1" applyFont="1" applyFill="1" applyBorder="1" applyAlignment="1"/>
    <xf numFmtId="0" fontId="1" fillId="0" borderId="9" xfId="0" applyNumberFormat="1" applyFont="1" applyFill="1" applyBorder="1" applyAlignment="1"/>
    <xf numFmtId="0" fontId="1" fillId="0" borderId="10" xfId="0" applyNumberFormat="1" applyFont="1" applyFill="1" applyBorder="1" applyAlignment="1"/>
    <xf numFmtId="0" fontId="1" fillId="0" borderId="11" xfId="0" applyNumberFormat="1" applyFont="1" applyFill="1" applyBorder="1" applyAlignment="1"/>
    <xf numFmtId="0" fontId="5" fillId="2" borderId="12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5" fillId="0" borderId="4" xfId="0" applyNumberFormat="1" applyFont="1" applyFill="1" applyBorder="1" applyAlignment="1"/>
    <xf numFmtId="3" fontId="5" fillId="2" borderId="4" xfId="0" applyNumberFormat="1" applyFont="1" applyFill="1" applyBorder="1" applyAlignment="1"/>
    <xf numFmtId="3" fontId="1" fillId="0" borderId="4" xfId="0" applyNumberFormat="1" applyFont="1" applyFill="1" applyBorder="1" applyAlignment="1"/>
    <xf numFmtId="3" fontId="5" fillId="0" borderId="4" xfId="0" applyNumberFormat="1" applyFont="1" applyFill="1" applyBorder="1" applyAlignment="1"/>
    <xf numFmtId="3" fontId="1" fillId="2" borderId="4" xfId="0" applyNumberFormat="1" applyFont="1" applyFill="1" applyBorder="1" applyAlignment="1"/>
    <xf numFmtId="3" fontId="11" fillId="0" borderId="4" xfId="0" applyNumberFormat="1" applyFont="1" applyFill="1" applyBorder="1" applyAlignment="1"/>
    <xf numFmtId="3" fontId="1" fillId="0" borderId="14" xfId="0" applyNumberFormat="1" applyFont="1" applyFill="1" applyBorder="1" applyAlignment="1"/>
    <xf numFmtId="3" fontId="1" fillId="0" borderId="15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16" xfId="0" applyNumberFormat="1" applyFont="1" applyFill="1" applyBorder="1" applyAlignment="1"/>
    <xf numFmtId="3" fontId="1" fillId="0" borderId="5" xfId="0" applyNumberFormat="1" applyFont="1" applyFill="1" applyBorder="1" applyAlignment="1"/>
    <xf numFmtId="164" fontId="1" fillId="0" borderId="5" xfId="0" applyNumberFormat="1" applyFont="1" applyFill="1" applyBorder="1" applyAlignment="1"/>
    <xf numFmtId="3" fontId="5" fillId="2" borderId="17" xfId="0" applyNumberFormat="1" applyFont="1" applyFill="1" applyBorder="1" applyAlignment="1"/>
    <xf numFmtId="3" fontId="5" fillId="2" borderId="18" xfId="0" applyNumberFormat="1" applyFont="1" applyFill="1" applyBorder="1" applyAlignment="1"/>
    <xf numFmtId="0" fontId="5" fillId="0" borderId="3" xfId="0" applyNumberFormat="1" applyFont="1" applyFill="1" applyBorder="1" applyAlignment="1"/>
    <xf numFmtId="3" fontId="1" fillId="3" borderId="4" xfId="0" applyNumberFormat="1" applyFont="1" applyFill="1" applyBorder="1" applyAlignment="1"/>
    <xf numFmtId="3" fontId="1" fillId="0" borderId="3" xfId="0" applyNumberFormat="1" applyFont="1" applyFill="1" applyBorder="1" applyAlignment="1"/>
    <xf numFmtId="3" fontId="5" fillId="2" borderId="19" xfId="0" applyNumberFormat="1" applyFont="1" applyFill="1" applyBorder="1" applyAlignment="1"/>
    <xf numFmtId="0" fontId="1" fillId="0" borderId="20" xfId="0" applyNumberFormat="1" applyFont="1" applyFill="1" applyBorder="1" applyAlignment="1"/>
    <xf numFmtId="4" fontId="5" fillId="0" borderId="4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left"/>
    </xf>
    <xf numFmtId="0" fontId="5" fillId="0" borderId="21" xfId="0" applyNumberFormat="1" applyFont="1" applyFill="1" applyBorder="1" applyAlignment="1">
      <alignment horizontal="centerContinuous"/>
    </xf>
    <xf numFmtId="0" fontId="11" fillId="0" borderId="5" xfId="0" applyNumberFormat="1" applyFont="1" applyFill="1" applyBorder="1" applyAlignment="1">
      <alignment horizontal="left"/>
    </xf>
    <xf numFmtId="0" fontId="1" fillId="0" borderId="22" xfId="0" applyNumberFormat="1" applyFont="1" applyFill="1" applyBorder="1" applyAlignment="1">
      <alignment horizontal="right"/>
    </xf>
    <xf numFmtId="0" fontId="1" fillId="0" borderId="23" xfId="0" applyNumberFormat="1" applyFont="1" applyFill="1" applyBorder="1" applyAlignment="1">
      <alignment horizontal="right"/>
    </xf>
    <xf numFmtId="0" fontId="1" fillId="0" borderId="5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left"/>
    </xf>
    <xf numFmtId="0" fontId="11" fillId="0" borderId="25" xfId="0" applyNumberFormat="1" applyFont="1" applyFill="1" applyBorder="1" applyAlignment="1">
      <alignment horizontal="right"/>
    </xf>
    <xf numFmtId="0" fontId="11" fillId="0" borderId="26" xfId="0" applyNumberFormat="1" applyFont="1" applyFill="1" applyBorder="1" applyAlignment="1">
      <alignment horizontal="right"/>
    </xf>
    <xf numFmtId="0" fontId="1" fillId="0" borderId="3" xfId="0" applyNumberFormat="1" applyFont="1" applyFill="1" applyBorder="1" applyAlignment="1">
      <alignment horizontal="left"/>
    </xf>
    <xf numFmtId="0" fontId="1" fillId="0" borderId="7" xfId="0" applyNumberFormat="1" applyFont="1" applyFill="1" applyBorder="1" applyAlignment="1">
      <alignment horizontal="left"/>
    </xf>
    <xf numFmtId="0" fontId="11" fillId="0" borderId="13" xfId="0" applyNumberFormat="1" applyFont="1" applyFill="1" applyBorder="1" applyAlignment="1"/>
    <xf numFmtId="3" fontId="11" fillId="0" borderId="13" xfId="0" applyNumberFormat="1" applyFont="1" applyFill="1" applyBorder="1" applyAlignment="1"/>
    <xf numFmtId="0" fontId="11" fillId="0" borderId="27" xfId="0" applyNumberFormat="1" applyFont="1" applyFill="1" applyBorder="1" applyAlignment="1"/>
    <xf numFmtId="0" fontId="11" fillId="4" borderId="28" xfId="0" applyNumberFormat="1" applyFont="1" applyFill="1" applyBorder="1" applyAlignment="1"/>
    <xf numFmtId="0" fontId="5" fillId="4" borderId="2" xfId="0" applyNumberFormat="1" applyFont="1" applyFill="1" applyBorder="1" applyAlignment="1">
      <alignment horizontal="right"/>
    </xf>
    <xf numFmtId="0" fontId="5" fillId="4" borderId="6" xfId="0" applyNumberFormat="1" applyFont="1" applyFill="1" applyBorder="1" applyAlignment="1">
      <alignment horizontal="right"/>
    </xf>
    <xf numFmtId="0" fontId="16" fillId="4" borderId="29" xfId="0" applyNumberFormat="1" applyFont="1" applyFill="1" applyBorder="1" applyAlignment="1">
      <alignment horizontal="left"/>
    </xf>
    <xf numFmtId="0" fontId="16" fillId="4" borderId="8" xfId="0" applyNumberFormat="1" applyFont="1" applyFill="1" applyBorder="1" applyAlignment="1">
      <alignment horizontal="left"/>
    </xf>
    <xf numFmtId="3" fontId="5" fillId="4" borderId="4" xfId="0" applyNumberFormat="1" applyFont="1" applyFill="1" applyBorder="1" applyAlignment="1"/>
    <xf numFmtId="3" fontId="5" fillId="4" borderId="19" xfId="0" applyNumberFormat="1" applyFont="1" applyFill="1" applyBorder="1" applyAlignment="1"/>
    <xf numFmtId="3" fontId="5" fillId="5" borderId="30" xfId="0" applyNumberFormat="1" applyFont="1" applyFill="1" applyBorder="1" applyAlignment="1"/>
    <xf numFmtId="4" fontId="5" fillId="5" borderId="31" xfId="0" applyNumberFormat="1" applyFont="1" applyFill="1" applyBorder="1" applyAlignment="1"/>
    <xf numFmtId="0" fontId="5" fillId="4" borderId="29" xfId="0" applyNumberFormat="1" applyFont="1" applyFill="1" applyBorder="1" applyAlignment="1">
      <alignment horizontal="left"/>
    </xf>
    <xf numFmtId="0" fontId="5" fillId="4" borderId="8" xfId="0" applyNumberFormat="1" applyFont="1" applyFill="1" applyBorder="1" applyAlignment="1">
      <alignment horizontal="left"/>
    </xf>
    <xf numFmtId="3" fontId="5" fillId="4" borderId="4" xfId="0" applyNumberFormat="1" applyFont="1" applyFill="1" applyBorder="1" applyAlignment="1">
      <alignment horizontal="left"/>
    </xf>
    <xf numFmtId="3" fontId="5" fillId="4" borderId="15" xfId="0" applyNumberFormat="1" applyFont="1" applyFill="1" applyBorder="1" applyAlignment="1"/>
    <xf numFmtId="4" fontId="5" fillId="4" borderId="32" xfId="0" applyNumberFormat="1" applyFont="1" applyFill="1" applyBorder="1" applyAlignment="1"/>
    <xf numFmtId="0" fontId="11" fillId="0" borderId="2" xfId="0" applyNumberFormat="1" applyFont="1" applyFill="1" applyBorder="1" applyAlignment="1">
      <alignment horizontal="right"/>
    </xf>
    <xf numFmtId="0" fontId="2" fillId="0" borderId="6" xfId="0" applyNumberFormat="1" applyFont="1" applyFill="1" applyBorder="1" applyAlignment="1">
      <alignment horizontal="right"/>
    </xf>
    <xf numFmtId="0" fontId="2" fillId="0" borderId="29" xfId="0" applyNumberFormat="1" applyFont="1" applyFill="1" applyBorder="1" applyAlignment="1">
      <alignment horizontal="left"/>
    </xf>
    <xf numFmtId="0" fontId="2" fillId="0" borderId="8" xfId="0" applyNumberFormat="1" applyFont="1" applyFill="1" applyBorder="1" applyAlignment="1">
      <alignment horizontal="left"/>
    </xf>
    <xf numFmtId="3" fontId="9" fillId="0" borderId="4" xfId="0" applyNumberFormat="1" applyFont="1" applyFill="1" applyBorder="1" applyAlignment="1"/>
    <xf numFmtId="3" fontId="9" fillId="4" borderId="33" xfId="0" applyNumberFormat="1" applyFont="1" applyFill="1" applyBorder="1" applyAlignment="1"/>
    <xf numFmtId="0" fontId="5" fillId="0" borderId="2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right"/>
    </xf>
    <xf numFmtId="0" fontId="5" fillId="0" borderId="29" xfId="0" applyNumberFormat="1" applyFont="1" applyFill="1" applyBorder="1" applyAlignment="1">
      <alignment horizontal="left"/>
    </xf>
    <xf numFmtId="0" fontId="5" fillId="0" borderId="8" xfId="0" applyNumberFormat="1" applyFont="1" applyFill="1" applyBorder="1" applyAlignment="1">
      <alignment horizontal="left"/>
    </xf>
    <xf numFmtId="4" fontId="5" fillId="4" borderId="33" xfId="0" applyNumberFormat="1" applyFont="1" applyFill="1" applyBorder="1" applyAlignment="1"/>
    <xf numFmtId="3" fontId="5" fillId="4" borderId="33" xfId="0" applyNumberFormat="1" applyFont="1" applyFill="1" applyBorder="1" applyAlignment="1"/>
    <xf numFmtId="0" fontId="11" fillId="0" borderId="6" xfId="0" applyNumberFormat="1" applyFont="1" applyFill="1" applyBorder="1" applyAlignment="1">
      <alignment horizontal="right"/>
    </xf>
    <xf numFmtId="0" fontId="11" fillId="0" borderId="29" xfId="0" applyNumberFormat="1" applyFont="1" applyFill="1" applyBorder="1" applyAlignment="1">
      <alignment horizontal="left"/>
    </xf>
    <xf numFmtId="0" fontId="9" fillId="0" borderId="29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right"/>
    </xf>
    <xf numFmtId="0" fontId="1" fillId="0" borderId="6" xfId="0" applyNumberFormat="1" applyFont="1" applyFill="1" applyBorder="1" applyAlignment="1">
      <alignment horizontal="right"/>
    </xf>
    <xf numFmtId="0" fontId="1" fillId="0" borderId="29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left"/>
    </xf>
    <xf numFmtId="4" fontId="1" fillId="4" borderId="33" xfId="0" applyNumberFormat="1" applyFont="1" applyFill="1" applyBorder="1" applyAlignment="1"/>
    <xf numFmtId="3" fontId="1" fillId="4" borderId="33" xfId="0" applyNumberFormat="1" applyFont="1" applyFill="1" applyBorder="1" applyAlignment="1"/>
    <xf numFmtId="3" fontId="11" fillId="4" borderId="33" xfId="0" applyNumberFormat="1" applyFont="1" applyFill="1" applyBorder="1" applyAlignment="1"/>
    <xf numFmtId="0" fontId="1" fillId="4" borderId="2" xfId="0" applyNumberFormat="1" applyFont="1" applyFill="1" applyBorder="1" applyAlignment="1">
      <alignment horizontal="right"/>
    </xf>
    <xf numFmtId="0" fontId="1" fillId="4" borderId="6" xfId="0" applyNumberFormat="1" applyFont="1" applyFill="1" applyBorder="1" applyAlignment="1">
      <alignment horizontal="right"/>
    </xf>
    <xf numFmtId="0" fontId="1" fillId="4" borderId="29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/>
    <xf numFmtId="4" fontId="9" fillId="4" borderId="33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Continuous"/>
    </xf>
    <xf numFmtId="0" fontId="9" fillId="4" borderId="29" xfId="0" applyNumberFormat="1" applyFont="1" applyFill="1" applyBorder="1" applyAlignment="1">
      <alignment horizontal="left"/>
    </xf>
    <xf numFmtId="3" fontId="9" fillId="4" borderId="4" xfId="0" applyNumberFormat="1" applyFont="1" applyFill="1" applyBorder="1" applyAlignment="1"/>
    <xf numFmtId="0" fontId="11" fillId="4" borderId="2" xfId="0" applyNumberFormat="1" applyFont="1" applyFill="1" applyBorder="1" applyAlignment="1">
      <alignment horizontal="right"/>
    </xf>
    <xf numFmtId="0" fontId="11" fillId="4" borderId="6" xfId="0" applyNumberFormat="1" applyFont="1" applyFill="1" applyBorder="1" applyAlignment="1">
      <alignment horizontal="right"/>
    </xf>
    <xf numFmtId="3" fontId="11" fillId="4" borderId="4" xfId="0" applyNumberFormat="1" applyFont="1" applyFill="1" applyBorder="1" applyAlignment="1"/>
    <xf numFmtId="3" fontId="1" fillId="6" borderId="4" xfId="0" applyNumberFormat="1" applyFont="1" applyFill="1" applyBorder="1" applyAlignment="1"/>
    <xf numFmtId="3" fontId="1" fillId="7" borderId="4" xfId="0" applyNumberFormat="1" applyFont="1" applyFill="1" applyBorder="1" applyAlignment="1"/>
    <xf numFmtId="3" fontId="1" fillId="5" borderId="4" xfId="0" applyNumberFormat="1" applyFont="1" applyFill="1" applyBorder="1" applyAlignment="1"/>
    <xf numFmtId="0" fontId="11" fillId="0" borderId="34" xfId="0" applyNumberFormat="1" applyFont="1" applyFill="1" applyBorder="1" applyAlignment="1">
      <alignment horizontal="right"/>
    </xf>
    <xf numFmtId="0" fontId="11" fillId="0" borderId="35" xfId="0" applyNumberFormat="1" applyFont="1" applyFill="1" applyBorder="1" applyAlignment="1">
      <alignment horizontal="right"/>
    </xf>
    <xf numFmtId="0" fontId="11" fillId="0" borderId="36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3" fontId="9" fillId="0" borderId="14" xfId="0" applyNumberFormat="1" applyFont="1" applyFill="1" applyBorder="1" applyAlignment="1"/>
    <xf numFmtId="3" fontId="9" fillId="4" borderId="37" xfId="0" applyNumberFormat="1" applyFont="1" applyFill="1" applyBorder="1" applyAlignment="1"/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>
      <alignment horizontal="centerContinuous"/>
    </xf>
    <xf numFmtId="0" fontId="13" fillId="8" borderId="0" xfId="0" applyNumberFormat="1" applyFont="1" applyFill="1" applyBorder="1" applyAlignment="1">
      <alignment horizontal="left"/>
    </xf>
    <xf numFmtId="3" fontId="9" fillId="8" borderId="0" xfId="0" applyNumberFormat="1" applyFont="1" applyFill="1" applyBorder="1" applyAlignment="1"/>
    <xf numFmtId="3" fontId="5" fillId="9" borderId="30" xfId="0" applyNumberFormat="1" applyFont="1" applyFill="1" applyBorder="1" applyAlignment="1"/>
    <xf numFmtId="3" fontId="9" fillId="0" borderId="0" xfId="0" applyNumberFormat="1" applyFont="1" applyFill="1" applyBorder="1" applyAlignment="1"/>
    <xf numFmtId="0" fontId="11" fillId="0" borderId="38" xfId="0" applyNumberFormat="1" applyFont="1" applyFill="1" applyBorder="1" applyAlignment="1">
      <alignment horizontal="right"/>
    </xf>
    <xf numFmtId="0" fontId="11" fillId="0" borderId="39" xfId="0" applyNumberFormat="1" applyFont="1" applyFill="1" applyBorder="1" applyAlignment="1">
      <alignment horizontal="right"/>
    </xf>
    <xf numFmtId="0" fontId="11" fillId="0" borderId="20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3" fontId="9" fillId="0" borderId="15" xfId="0" applyNumberFormat="1" applyFont="1" applyFill="1" applyBorder="1" applyAlignment="1"/>
    <xf numFmtId="3" fontId="9" fillId="0" borderId="40" xfId="0" applyNumberFormat="1" applyFont="1" applyFill="1" applyBorder="1" applyAlignment="1"/>
    <xf numFmtId="3" fontId="9" fillId="4" borderId="41" xfId="0" applyNumberFormat="1" applyFont="1" applyFill="1" applyBorder="1" applyAlignment="1"/>
    <xf numFmtId="3" fontId="5" fillId="4" borderId="8" xfId="0" applyNumberFormat="1" applyFont="1" applyFill="1" applyBorder="1" applyAlignment="1">
      <alignment horizontal="left"/>
    </xf>
    <xf numFmtId="3" fontId="7" fillId="4" borderId="4" xfId="0" applyNumberFormat="1" applyFont="1" applyFill="1" applyBorder="1" applyAlignment="1"/>
    <xf numFmtId="3" fontId="5" fillId="4" borderId="32" xfId="0" applyNumberFormat="1" applyFont="1" applyFill="1" applyBorder="1" applyAlignment="1"/>
    <xf numFmtId="3" fontId="11" fillId="0" borderId="8" xfId="0" applyNumberFormat="1" applyFont="1" applyFill="1" applyBorder="1" applyAlignment="1">
      <alignment horizontal="left"/>
    </xf>
    <xf numFmtId="3" fontId="5" fillId="0" borderId="8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right"/>
    </xf>
    <xf numFmtId="0" fontId="9" fillId="0" borderId="6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left"/>
    </xf>
    <xf numFmtId="4" fontId="11" fillId="4" borderId="33" xfId="0" applyNumberFormat="1" applyFont="1" applyFill="1" applyBorder="1" applyAlignment="1"/>
    <xf numFmtId="0" fontId="9" fillId="4" borderId="2" xfId="0" applyNumberFormat="1" applyFont="1" applyFill="1" applyBorder="1" applyAlignment="1">
      <alignment horizontal="right"/>
    </xf>
    <xf numFmtId="3" fontId="11" fillId="4" borderId="8" xfId="0" applyNumberFormat="1" applyFont="1" applyFill="1" applyBorder="1" applyAlignment="1">
      <alignment horizontal="left"/>
    </xf>
    <xf numFmtId="3" fontId="1" fillId="4" borderId="8" xfId="0" applyNumberFormat="1" applyFont="1" applyFill="1" applyBorder="1" applyAlignment="1">
      <alignment horizontal="left"/>
    </xf>
    <xf numFmtId="0" fontId="11" fillId="4" borderId="29" xfId="0" applyNumberFormat="1" applyFont="1" applyFill="1" applyBorder="1" applyAlignment="1">
      <alignment horizontal="left"/>
    </xf>
    <xf numFmtId="0" fontId="1" fillId="4" borderId="33" xfId="0" applyNumberFormat="1" applyFont="1" applyFill="1" applyBorder="1" applyAlignment="1"/>
    <xf numFmtId="3" fontId="9" fillId="2" borderId="33" xfId="0" applyNumberFormat="1" applyFont="1" applyFill="1" applyBorder="1" applyAlignment="1"/>
    <xf numFmtId="3" fontId="9" fillId="4" borderId="8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3" fontId="9" fillId="0" borderId="8" xfId="0" applyNumberFormat="1" applyFont="1" applyFill="1" applyBorder="1" applyAlignment="1">
      <alignment horizontal="left"/>
    </xf>
    <xf numFmtId="3" fontId="11" fillId="0" borderId="9" xfId="0" applyNumberFormat="1" applyFont="1" applyFill="1" applyBorder="1" applyAlignment="1">
      <alignment horizontal="left"/>
    </xf>
    <xf numFmtId="3" fontId="11" fillId="0" borderId="14" xfId="0" applyNumberFormat="1" applyFont="1" applyFill="1" applyBorder="1" applyAlignment="1"/>
    <xf numFmtId="4" fontId="11" fillId="4" borderId="37" xfId="0" applyNumberFormat="1" applyFont="1" applyFill="1" applyBorder="1" applyAlignment="1"/>
    <xf numFmtId="3" fontId="11" fillId="0" borderId="10" xfId="0" applyNumberFormat="1" applyFont="1" applyFill="1" applyBorder="1" applyAlignment="1">
      <alignment horizontal="left"/>
    </xf>
    <xf numFmtId="3" fontId="11" fillId="0" borderId="15" xfId="0" applyNumberFormat="1" applyFont="1" applyFill="1" applyBorder="1" applyAlignment="1"/>
    <xf numFmtId="4" fontId="11" fillId="4" borderId="32" xfId="0" applyNumberFormat="1" applyFont="1" applyFill="1" applyBorder="1" applyAlignment="1"/>
    <xf numFmtId="3" fontId="11" fillId="4" borderId="37" xfId="0" applyNumberFormat="1" applyFont="1" applyFill="1" applyBorder="1" applyAlignment="1"/>
    <xf numFmtId="3" fontId="5" fillId="5" borderId="19" xfId="0" applyNumberFormat="1" applyFont="1" applyFill="1" applyBorder="1" applyAlignment="1"/>
    <xf numFmtId="4" fontId="5" fillId="5" borderId="4" xfId="0" applyNumberFormat="1" applyFont="1" applyFill="1" applyBorder="1" applyAlignment="1"/>
    <xf numFmtId="0" fontId="9" fillId="0" borderId="34" xfId="0" applyNumberFormat="1" applyFont="1" applyFill="1" applyBorder="1" applyAlignment="1">
      <alignment horizontal="right"/>
    </xf>
    <xf numFmtId="0" fontId="9" fillId="0" borderId="35" xfId="0" applyNumberFormat="1" applyFont="1" applyFill="1" applyBorder="1" applyAlignment="1">
      <alignment horizontal="right"/>
    </xf>
    <xf numFmtId="0" fontId="9" fillId="0" borderId="36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3" fontId="11" fillId="0" borderId="7" xfId="0" applyNumberFormat="1" applyFont="1" applyFill="1" applyBorder="1" applyAlignment="1">
      <alignment horizontal="left"/>
    </xf>
    <xf numFmtId="3" fontId="11" fillId="4" borderId="42" xfId="0" applyNumberFormat="1" applyFont="1" applyFill="1" applyBorder="1" applyAlignment="1"/>
    <xf numFmtId="0" fontId="5" fillId="4" borderId="4" xfId="0" applyNumberFormat="1" applyFont="1" applyFill="1" applyBorder="1" applyAlignment="1"/>
    <xf numFmtId="3" fontId="9" fillId="0" borderId="13" xfId="0" applyNumberFormat="1" applyFont="1" applyFill="1" applyBorder="1" applyAlignment="1"/>
    <xf numFmtId="3" fontId="9" fillId="4" borderId="42" xfId="0" applyNumberFormat="1" applyFont="1" applyFill="1" applyBorder="1" applyAlignment="1"/>
    <xf numFmtId="0" fontId="11" fillId="0" borderId="43" xfId="0" applyNumberFormat="1" applyFont="1" applyFill="1" applyBorder="1" applyAlignment="1">
      <alignment horizontal="right"/>
    </xf>
    <xf numFmtId="0" fontId="11" fillId="0" borderId="44" xfId="0" applyNumberFormat="1" applyFont="1" applyFill="1" applyBorder="1" applyAlignment="1">
      <alignment horizontal="right"/>
    </xf>
    <xf numFmtId="0" fontId="11" fillId="0" borderId="45" xfId="0" applyNumberFormat="1" applyFont="1" applyFill="1" applyBorder="1" applyAlignment="1">
      <alignment horizontal="left"/>
    </xf>
    <xf numFmtId="3" fontId="11" fillId="0" borderId="11" xfId="0" applyNumberFormat="1" applyFont="1" applyFill="1" applyBorder="1" applyAlignment="1">
      <alignment horizontal="left"/>
    </xf>
    <xf numFmtId="3" fontId="11" fillId="0" borderId="16" xfId="0" applyNumberFormat="1" applyFont="1" applyFill="1" applyBorder="1" applyAlignment="1"/>
    <xf numFmtId="3" fontId="11" fillId="4" borderId="46" xfId="0" applyNumberFormat="1" applyFont="1" applyFill="1" applyBorder="1" applyAlignment="1"/>
    <xf numFmtId="0" fontId="11" fillId="0" borderId="5" xfId="0" applyNumberFormat="1" applyFont="1" applyFill="1" applyBorder="1" applyAlignment="1">
      <alignment horizontal="right"/>
    </xf>
    <xf numFmtId="3" fontId="11" fillId="0" borderId="5" xfId="0" applyNumberFormat="1" applyFont="1" applyFill="1" applyBorder="1" applyAlignment="1">
      <alignment horizontal="left"/>
    </xf>
    <xf numFmtId="3" fontId="11" fillId="0" borderId="5" xfId="0" applyNumberFormat="1" applyFont="1" applyFill="1" applyBorder="1" applyAlignment="1"/>
    <xf numFmtId="3" fontId="11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/>
    <xf numFmtId="0" fontId="9" fillId="0" borderId="47" xfId="0" applyNumberFormat="1" applyFont="1" applyFill="1" applyBorder="1" applyAlignment="1">
      <alignment horizontal="center"/>
    </xf>
    <xf numFmtId="0" fontId="15" fillId="4" borderId="2" xfId="0" applyNumberFormat="1" applyFont="1" applyFill="1" applyBorder="1" applyAlignment="1">
      <alignment horizontal="right"/>
    </xf>
    <xf numFmtId="0" fontId="15" fillId="4" borderId="6" xfId="0" applyNumberFormat="1" applyFont="1" applyFill="1" applyBorder="1" applyAlignment="1">
      <alignment horizontal="right"/>
    </xf>
    <xf numFmtId="0" fontId="15" fillId="4" borderId="29" xfId="0" applyNumberFormat="1" applyFont="1" applyFill="1" applyBorder="1" applyAlignment="1">
      <alignment horizontal="left"/>
    </xf>
    <xf numFmtId="3" fontId="15" fillId="4" borderId="8" xfId="0" applyNumberFormat="1" applyFont="1" applyFill="1" applyBorder="1" applyAlignment="1">
      <alignment horizontal="left"/>
    </xf>
    <xf numFmtId="3" fontId="15" fillId="4" borderId="4" xfId="0" applyNumberFormat="1" applyFont="1" applyFill="1" applyBorder="1" applyAlignment="1"/>
    <xf numFmtId="3" fontId="15" fillId="4" borderId="33" xfId="0" applyNumberFormat="1" applyFont="1" applyFill="1" applyBorder="1" applyAlignment="1"/>
    <xf numFmtId="3" fontId="15" fillId="5" borderId="4" xfId="0" applyNumberFormat="1" applyFont="1" applyFill="1" applyBorder="1" applyAlignment="1"/>
    <xf numFmtId="4" fontId="5" fillId="5" borderId="33" xfId="0" applyNumberFormat="1" applyFont="1" applyFill="1" applyBorder="1" applyAlignment="1"/>
    <xf numFmtId="3" fontId="11" fillId="4" borderId="32" xfId="0" applyNumberFormat="1" applyFont="1" applyFill="1" applyBorder="1" applyAlignment="1"/>
    <xf numFmtId="3" fontId="5" fillId="5" borderId="4" xfId="0" applyNumberFormat="1" applyFont="1" applyFill="1" applyBorder="1" applyAlignment="1"/>
    <xf numFmtId="3" fontId="11" fillId="2" borderId="46" xfId="0" applyNumberFormat="1" applyFont="1" applyFill="1" applyBorder="1" applyAlignment="1"/>
    <xf numFmtId="0" fontId="12" fillId="0" borderId="0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1" fillId="0" borderId="48" xfId="0" applyNumberFormat="1" applyFont="1" applyFill="1" applyBorder="1" applyAlignment="1">
      <alignment horizontal="right"/>
    </xf>
    <xf numFmtId="0" fontId="1" fillId="0" borderId="49" xfId="0" applyNumberFormat="1" applyFont="1" applyFill="1" applyBorder="1" applyAlignment="1">
      <alignment horizontal="right"/>
    </xf>
    <xf numFmtId="0" fontId="1" fillId="0" borderId="50" xfId="0" applyNumberFormat="1" applyFont="1" applyFill="1" applyBorder="1" applyAlignment="1">
      <alignment horizontal="left"/>
    </xf>
    <xf numFmtId="0" fontId="11" fillId="0" borderId="51" xfId="0" applyNumberFormat="1" applyFont="1" applyFill="1" applyBorder="1" applyAlignment="1">
      <alignment horizontal="right"/>
    </xf>
    <xf numFmtId="0" fontId="11" fillId="0" borderId="52" xfId="0" applyNumberFormat="1" applyFont="1" applyFill="1" applyBorder="1" applyAlignment="1">
      <alignment horizontal="right"/>
    </xf>
    <xf numFmtId="0" fontId="11" fillId="0" borderId="53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right"/>
    </xf>
    <xf numFmtId="0" fontId="5" fillId="4" borderId="54" xfId="0" applyNumberFormat="1" applyFont="1" applyFill="1" applyBorder="1" applyAlignment="1">
      <alignment horizontal="right"/>
    </xf>
    <xf numFmtId="0" fontId="5" fillId="4" borderId="55" xfId="0" applyNumberFormat="1" applyFon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left"/>
    </xf>
    <xf numFmtId="3" fontId="5" fillId="4" borderId="56" xfId="0" applyNumberFormat="1" applyFont="1" applyFill="1" applyBorder="1" applyAlignment="1">
      <alignment horizontal="left"/>
    </xf>
    <xf numFmtId="3" fontId="5" fillId="4" borderId="17" xfId="0" applyNumberFormat="1" applyFont="1" applyFill="1" applyBorder="1" applyAlignment="1"/>
    <xf numFmtId="3" fontId="5" fillId="4" borderId="57" xfId="0" applyNumberFormat="1" applyFont="1" applyFill="1" applyBorder="1" applyAlignment="1"/>
    <xf numFmtId="0" fontId="5" fillId="4" borderId="58" xfId="0" applyNumberFormat="1" applyFont="1" applyFill="1" applyBorder="1" applyAlignment="1">
      <alignment horizontal="right"/>
    </xf>
    <xf numFmtId="0" fontId="5" fillId="4" borderId="59" xfId="0" applyNumberFormat="1" applyFont="1" applyFill="1" applyBorder="1" applyAlignment="1">
      <alignment horizontal="right"/>
    </xf>
    <xf numFmtId="0" fontId="5" fillId="4" borderId="0" xfId="0" applyNumberFormat="1" applyFont="1" applyFill="1" applyBorder="1" applyAlignment="1">
      <alignment horizontal="left"/>
    </xf>
    <xf numFmtId="3" fontId="5" fillId="4" borderId="60" xfId="0" applyNumberFormat="1" applyFont="1" applyFill="1" applyBorder="1" applyAlignment="1">
      <alignment horizontal="left"/>
    </xf>
    <xf numFmtId="3" fontId="5" fillId="4" borderId="61" xfId="0" applyNumberFormat="1" applyFont="1" applyFill="1" applyBorder="1" applyAlignment="1"/>
    <xf numFmtId="3" fontId="5" fillId="5" borderId="61" xfId="0" applyNumberFormat="1" applyFont="1" applyFill="1" applyBorder="1" applyAlignment="1"/>
    <xf numFmtId="4" fontId="5" fillId="5" borderId="28" xfId="0" applyNumberFormat="1" applyFont="1" applyFill="1" applyBorder="1" applyAlignment="1"/>
    <xf numFmtId="3" fontId="5" fillId="5" borderId="17" xfId="0" applyNumberFormat="1" applyFont="1" applyFill="1" applyBorder="1" applyAlignment="1"/>
    <xf numFmtId="4" fontId="5" fillId="5" borderId="57" xfId="0" applyNumberFormat="1" applyFont="1" applyFill="1" applyBorder="1" applyAlignment="1"/>
    <xf numFmtId="0" fontId="5" fillId="4" borderId="62" xfId="0" applyNumberFormat="1" applyFont="1" applyFill="1" applyBorder="1" applyAlignment="1">
      <alignment horizontal="right"/>
    </xf>
    <xf numFmtId="0" fontId="5" fillId="4" borderId="63" xfId="0" applyNumberFormat="1" applyFont="1" applyFill="1" applyBorder="1" applyAlignment="1">
      <alignment horizontal="right"/>
    </xf>
    <xf numFmtId="0" fontId="5" fillId="4" borderId="21" xfId="0" applyNumberFormat="1" applyFont="1" applyFill="1" applyBorder="1" applyAlignment="1">
      <alignment horizontal="left"/>
    </xf>
    <xf numFmtId="3" fontId="5" fillId="4" borderId="12" xfId="0" applyNumberFormat="1" applyFont="1" applyFill="1" applyBorder="1" applyAlignment="1">
      <alignment horizontal="left"/>
    </xf>
    <xf numFmtId="3" fontId="5" fillId="4" borderId="18" xfId="0" applyNumberFormat="1" applyFont="1" applyFill="1" applyBorder="1" applyAlignment="1"/>
    <xf numFmtId="3" fontId="5" fillId="5" borderId="18" xfId="0" applyNumberFormat="1" applyFont="1" applyFill="1" applyBorder="1" applyAlignment="1"/>
    <xf numFmtId="4" fontId="5" fillId="5" borderId="64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10" borderId="0" xfId="0" applyNumberFormat="1" applyFont="1" applyFill="1" applyBorder="1" applyAlignment="1">
      <alignment horizontal="centerContinuous"/>
    </xf>
    <xf numFmtId="0" fontId="12" fillId="4" borderId="0" xfId="0" applyNumberFormat="1" applyFont="1" applyFill="1" applyBorder="1" applyAlignment="1">
      <alignment horizontal="right"/>
    </xf>
    <xf numFmtId="0" fontId="12" fillId="4" borderId="0" xfId="0" applyNumberFormat="1" applyFont="1" applyFill="1" applyBorder="1" applyAlignment="1"/>
    <xf numFmtId="0" fontId="12" fillId="4" borderId="0" xfId="0" applyNumberFormat="1" applyFont="1" applyFill="1" applyBorder="1" applyAlignment="1">
      <alignment horizontal="left"/>
    </xf>
    <xf numFmtId="0" fontId="12" fillId="4" borderId="0" xfId="0" applyNumberFormat="1" applyFont="1" applyFill="1" applyBorder="1" applyAlignment="1">
      <alignment horizontal="centerContinuous"/>
    </xf>
    <xf numFmtId="0" fontId="5" fillId="0" borderId="21" xfId="0" applyNumberFormat="1" applyFont="1" applyFill="1" applyBorder="1" applyAlignment="1"/>
    <xf numFmtId="0" fontId="5" fillId="0" borderId="59" xfId="0" applyNumberFormat="1" applyFont="1" applyFill="1" applyBorder="1" applyAlignment="1">
      <alignment horizontal="right"/>
    </xf>
    <xf numFmtId="0" fontId="5" fillId="0" borderId="63" xfId="0" applyNumberFormat="1" applyFont="1" applyFill="1" applyBorder="1" applyAlignment="1">
      <alignment horizontal="right"/>
    </xf>
    <xf numFmtId="0" fontId="1" fillId="0" borderId="65" xfId="0" applyNumberFormat="1" applyFont="1" applyFill="1" applyBorder="1" applyAlignment="1"/>
    <xf numFmtId="4" fontId="5" fillId="0" borderId="33" xfId="0" applyNumberFormat="1" applyFont="1" applyFill="1" applyBorder="1" applyAlignment="1"/>
    <xf numFmtId="0" fontId="5" fillId="0" borderId="29" xfId="0" applyNumberFormat="1" applyFont="1" applyFill="1" applyBorder="1" applyAlignment="1"/>
    <xf numFmtId="4" fontId="1" fillId="0" borderId="33" xfId="0" applyNumberFormat="1" applyFont="1" applyFill="1" applyBorder="1" applyAlignment="1"/>
    <xf numFmtId="3" fontId="1" fillId="0" borderId="33" xfId="0" applyNumberFormat="1" applyFont="1" applyFill="1" applyBorder="1" applyAlignment="1"/>
    <xf numFmtId="0" fontId="9" fillId="0" borderId="8" xfId="0" applyNumberFormat="1" applyFont="1" applyFill="1" applyBorder="1" applyAlignment="1"/>
    <xf numFmtId="164" fontId="1" fillId="0" borderId="0" xfId="0" applyNumberFormat="1" applyFont="1" applyFill="1" applyBorder="1" applyAlignment="1"/>
    <xf numFmtId="3" fontId="1" fillId="2" borderId="33" xfId="0" applyNumberFormat="1" applyFont="1" applyFill="1" applyBorder="1" applyAlignment="1"/>
    <xf numFmtId="3" fontId="5" fillId="0" borderId="33" xfId="0" applyNumberFormat="1" applyFont="1" applyFill="1" applyBorder="1" applyAlignment="1"/>
    <xf numFmtId="4" fontId="1" fillId="0" borderId="37" xfId="0" applyNumberFormat="1" applyFont="1" applyFill="1" applyBorder="1" applyAlignment="1"/>
    <xf numFmtId="0" fontId="5" fillId="0" borderId="9" xfId="0" applyNumberFormat="1" applyFont="1" applyFill="1" applyBorder="1" applyAlignment="1"/>
    <xf numFmtId="3" fontId="5" fillId="0" borderId="14" xfId="0" applyNumberFormat="1" applyFont="1" applyFill="1" applyBorder="1" applyAlignment="1"/>
    <xf numFmtId="3" fontId="5" fillId="0" borderId="37" xfId="0" applyNumberFormat="1" applyFont="1" applyFill="1" applyBorder="1" applyAlignment="1"/>
    <xf numFmtId="3" fontId="5" fillId="0" borderId="42" xfId="0" applyNumberFormat="1" applyFont="1" applyFill="1" applyBorder="1" applyAlignment="1"/>
    <xf numFmtId="0" fontId="9" fillId="0" borderId="66" xfId="0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right"/>
    </xf>
    <xf numFmtId="0" fontId="9" fillId="0" borderId="67" xfId="0" applyNumberFormat="1" applyFont="1" applyFill="1" applyBorder="1" applyAlignment="1">
      <alignment horizontal="center"/>
    </xf>
    <xf numFmtId="4" fontId="1" fillId="2" borderId="33" xfId="0" applyNumberFormat="1" applyFont="1" applyFill="1" applyBorder="1" applyAlignment="1"/>
    <xf numFmtId="0" fontId="12" fillId="2" borderId="0" xfId="0" applyNumberFormat="1" applyFont="1" applyFill="1" applyBorder="1" applyAlignment="1">
      <alignment horizontal="left"/>
    </xf>
    <xf numFmtId="0" fontId="12" fillId="2" borderId="0" xfId="0" applyNumberFormat="1" applyFont="1" applyFill="1" applyBorder="1" applyAlignment="1"/>
    <xf numFmtId="0" fontId="12" fillId="2" borderId="0" xfId="0" applyNumberFormat="1" applyFont="1" applyFill="1" applyBorder="1" applyAlignment="1">
      <alignment horizontal="centerContinuous"/>
    </xf>
    <xf numFmtId="0" fontId="1" fillId="10" borderId="0" xfId="0" applyNumberFormat="1" applyFont="1" applyFill="1" applyBorder="1" applyAlignment="1">
      <alignment horizontal="centerContinuous"/>
    </xf>
    <xf numFmtId="0" fontId="6" fillId="10" borderId="0" xfId="0" applyNumberFormat="1" applyFont="1" applyFill="1" applyBorder="1" applyAlignment="1">
      <alignment horizontal="centerContinuous"/>
    </xf>
    <xf numFmtId="0" fontId="4" fillId="10" borderId="0" xfId="0" applyNumberFormat="1" applyFont="1" applyFill="1" applyBorder="1" applyAlignment="1">
      <alignment horizontal="centerContinuous"/>
    </xf>
    <xf numFmtId="0" fontId="8" fillId="10" borderId="0" xfId="0" applyNumberFormat="1" applyFont="1" applyFill="1" applyBorder="1" applyAlignment="1">
      <alignment horizontal="centerContinuous"/>
    </xf>
    <xf numFmtId="4" fontId="5" fillId="2" borderId="33" xfId="0" applyNumberFormat="1" applyFont="1" applyFill="1" applyBorder="1" applyAlignment="1"/>
    <xf numFmtId="3" fontId="5" fillId="2" borderId="33" xfId="0" applyNumberFormat="1" applyFont="1" applyFill="1" applyBorder="1" applyAlignment="1"/>
    <xf numFmtId="3" fontId="1" fillId="0" borderId="37" xfId="0" applyNumberFormat="1" applyFont="1" applyFill="1" applyBorder="1" applyAlignment="1"/>
    <xf numFmtId="0" fontId="9" fillId="0" borderId="68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/>
    <xf numFmtId="4" fontId="5" fillId="2" borderId="32" xfId="0" applyNumberFormat="1" applyFont="1" applyFill="1" applyBorder="1" applyAlignment="1"/>
    <xf numFmtId="4" fontId="5" fillId="2" borderId="31" xfId="0" applyNumberFormat="1" applyFont="1" applyFill="1" applyBorder="1" applyAlignment="1"/>
    <xf numFmtId="0" fontId="5" fillId="0" borderId="68" xfId="0" applyNumberFormat="1" applyFont="1" applyFill="1" applyBorder="1" applyAlignment="1"/>
    <xf numFmtId="0" fontId="5" fillId="0" borderId="69" xfId="0" applyNumberFormat="1" applyFont="1" applyFill="1" applyBorder="1" applyAlignment="1">
      <alignment horizontal="center"/>
    </xf>
    <xf numFmtId="0" fontId="5" fillId="11" borderId="70" xfId="0" applyNumberFormat="1" applyFont="1" applyFill="1" applyBorder="1" applyAlignment="1">
      <alignment horizontal="center"/>
    </xf>
    <xf numFmtId="0" fontId="5" fillId="12" borderId="70" xfId="0" applyNumberFormat="1" applyFont="1" applyFill="1" applyBorder="1" applyAlignment="1">
      <alignment horizontal="center"/>
    </xf>
    <xf numFmtId="0" fontId="5" fillId="13" borderId="70" xfId="0" applyNumberFormat="1" applyFont="1" applyFill="1" applyBorder="1" applyAlignment="1">
      <alignment horizontal="center"/>
    </xf>
    <xf numFmtId="0" fontId="5" fillId="14" borderId="70" xfId="0" applyNumberFormat="1" applyFont="1" applyFill="1" applyBorder="1" applyAlignment="1">
      <alignment horizontal="center"/>
    </xf>
    <xf numFmtId="0" fontId="5" fillId="3" borderId="70" xfId="0" applyNumberFormat="1" applyFont="1" applyFill="1" applyBorder="1" applyAlignment="1">
      <alignment horizontal="center"/>
    </xf>
    <xf numFmtId="0" fontId="5" fillId="11" borderId="61" xfId="0" applyNumberFormat="1" applyFont="1" applyFill="1" applyBorder="1" applyAlignment="1">
      <alignment horizontal="center"/>
    </xf>
    <xf numFmtId="0" fontId="5" fillId="12" borderId="61" xfId="0" applyNumberFormat="1" applyFont="1" applyFill="1" applyBorder="1" applyAlignment="1">
      <alignment horizontal="center"/>
    </xf>
    <xf numFmtId="0" fontId="5" fillId="3" borderId="61" xfId="0" applyNumberFormat="1" applyFont="1" applyFill="1" applyBorder="1" applyAlignment="1">
      <alignment horizontal="center"/>
    </xf>
    <xf numFmtId="0" fontId="5" fillId="3" borderId="18" xfId="0" applyNumberFormat="1" applyFont="1" applyFill="1" applyBorder="1" applyAlignment="1">
      <alignment horizontal="center"/>
    </xf>
    <xf numFmtId="0" fontId="5" fillId="0" borderId="64" xfId="0" applyNumberFormat="1" applyFont="1" applyFill="1" applyBorder="1" applyAlignment="1">
      <alignment horizontal="center"/>
    </xf>
    <xf numFmtId="0" fontId="5" fillId="13" borderId="61" xfId="0" applyNumberFormat="1" applyFont="1" applyFill="1" applyBorder="1" applyAlignment="1">
      <alignment horizontal="center"/>
    </xf>
    <xf numFmtId="0" fontId="5" fillId="14" borderId="61" xfId="0" applyNumberFormat="1" applyFont="1" applyFill="1" applyBorder="1" applyAlignment="1">
      <alignment horizontal="center"/>
    </xf>
    <xf numFmtId="0" fontId="5" fillId="11" borderId="18" xfId="0" applyNumberFormat="1" applyFont="1" applyFill="1" applyBorder="1" applyAlignment="1">
      <alignment horizontal="center"/>
    </xf>
    <xf numFmtId="0" fontId="5" fillId="12" borderId="18" xfId="0" applyNumberFormat="1" applyFont="1" applyFill="1" applyBorder="1" applyAlignment="1">
      <alignment horizontal="center"/>
    </xf>
    <xf numFmtId="0" fontId="5" fillId="13" borderId="18" xfId="0" applyNumberFormat="1" applyFont="1" applyFill="1" applyBorder="1" applyAlignment="1">
      <alignment horizontal="center"/>
    </xf>
    <xf numFmtId="0" fontId="5" fillId="14" borderId="18" xfId="0" applyNumberFormat="1" applyFont="1" applyFill="1" applyBorder="1" applyAlignment="1">
      <alignment horizontal="center"/>
    </xf>
    <xf numFmtId="0" fontId="10" fillId="3" borderId="61" xfId="0" applyNumberFormat="1" applyFont="1" applyFill="1" applyBorder="1" applyAlignment="1">
      <alignment horizontal="center"/>
    </xf>
    <xf numFmtId="0" fontId="10" fillId="3" borderId="18" xfId="0" applyNumberFormat="1" applyFont="1" applyFill="1" applyBorder="1" applyAlignment="1">
      <alignment horizontal="center"/>
    </xf>
    <xf numFmtId="0" fontId="5" fillId="8" borderId="0" xfId="0" applyNumberFormat="1" applyFont="1" applyFill="1" applyBorder="1" applyAlignment="1"/>
    <xf numFmtId="3" fontId="5" fillId="8" borderId="0" xfId="0" applyNumberFormat="1" applyFont="1" applyFill="1" applyBorder="1" applyAlignment="1"/>
    <xf numFmtId="3" fontId="5" fillId="8" borderId="30" xfId="0" applyNumberFormat="1" applyFont="1" applyFill="1" applyBorder="1" applyAlignment="1"/>
    <xf numFmtId="3" fontId="1" fillId="0" borderId="32" xfId="0" applyNumberFormat="1" applyFont="1" applyFill="1" applyBorder="1" applyAlignment="1"/>
    <xf numFmtId="3" fontId="1" fillId="0" borderId="41" xfId="0" applyNumberFormat="1" applyFont="1" applyFill="1" applyBorder="1" applyAlignment="1"/>
    <xf numFmtId="3" fontId="5" fillId="2" borderId="32" xfId="0" applyNumberFormat="1" applyFont="1" applyFill="1" applyBorder="1" applyAlignment="1"/>
    <xf numFmtId="4" fontId="1" fillId="0" borderId="32" xfId="0" applyNumberFormat="1" applyFont="1" applyFill="1" applyBorder="1" applyAlignment="1"/>
    <xf numFmtId="3" fontId="1" fillId="0" borderId="46" xfId="0" applyNumberFormat="1" applyFont="1" applyFill="1" applyBorder="1" applyAlignment="1"/>
    <xf numFmtId="0" fontId="5" fillId="0" borderId="0" xfId="0" applyNumberFormat="1" applyFont="1" applyFill="1" applyBorder="1" applyAlignment="1">
      <alignment horizontal="right"/>
    </xf>
    <xf numFmtId="0" fontId="5" fillId="0" borderId="21" xfId="0" applyNumberFormat="1" applyFont="1" applyFill="1" applyBorder="1" applyAlignment="1">
      <alignment horizontal="right"/>
    </xf>
    <xf numFmtId="0" fontId="5" fillId="0" borderId="22" xfId="0" applyNumberFormat="1" applyFont="1" applyFill="1" applyBorder="1" applyAlignment="1">
      <alignment horizontal="right"/>
    </xf>
    <xf numFmtId="0" fontId="5" fillId="0" borderId="58" xfId="0" applyNumberFormat="1" applyFont="1" applyFill="1" applyBorder="1" applyAlignment="1">
      <alignment horizontal="right"/>
    </xf>
    <xf numFmtId="0" fontId="5" fillId="0" borderId="62" xfId="0" applyNumberFormat="1" applyFont="1" applyFill="1" applyBorder="1" applyAlignment="1">
      <alignment horizontal="right"/>
    </xf>
    <xf numFmtId="0" fontId="1" fillId="0" borderId="25" xfId="0" applyNumberFormat="1" applyFont="1" applyFill="1" applyBorder="1" applyAlignment="1">
      <alignment horizontal="right"/>
    </xf>
    <xf numFmtId="0" fontId="1" fillId="0" borderId="34" xfId="0" applyNumberFormat="1" applyFont="1" applyFill="1" applyBorder="1" applyAlignment="1">
      <alignment horizontal="right"/>
    </xf>
    <xf numFmtId="0" fontId="1" fillId="0" borderId="38" xfId="0" applyNumberFormat="1" applyFont="1" applyFill="1" applyBorder="1" applyAlignment="1">
      <alignment horizontal="right"/>
    </xf>
    <xf numFmtId="0" fontId="1" fillId="0" borderId="43" xfId="0" applyNumberFormat="1" applyFont="1" applyFill="1" applyBorder="1" applyAlignment="1">
      <alignment horizontal="right"/>
    </xf>
    <xf numFmtId="0" fontId="1" fillId="0" borderId="5" xfId="0" applyNumberFormat="1" applyFont="1" applyFill="1" applyBorder="1" applyAlignment="1">
      <alignment horizontal="right"/>
    </xf>
    <xf numFmtId="0" fontId="1" fillId="0" borderId="71" xfId="0" applyNumberFormat="1" applyFont="1" applyFill="1" applyBorder="1" applyAlignment="1">
      <alignment horizontal="right"/>
    </xf>
    <xf numFmtId="0" fontId="5" fillId="2" borderId="54" xfId="0" applyNumberFormat="1" applyFont="1" applyFill="1" applyBorder="1" applyAlignment="1">
      <alignment horizontal="right"/>
    </xf>
    <xf numFmtId="0" fontId="12" fillId="2" borderId="0" xfId="0" applyNumberFormat="1" applyFont="1" applyFill="1" applyBorder="1" applyAlignment="1">
      <alignment horizontal="right"/>
    </xf>
    <xf numFmtId="0" fontId="5" fillId="0" borderId="23" xfId="0" applyNumberFormat="1" applyFont="1" applyFill="1" applyBorder="1" applyAlignment="1">
      <alignment horizontal="right"/>
    </xf>
    <xf numFmtId="0" fontId="1" fillId="0" borderId="26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right"/>
    </xf>
    <xf numFmtId="0" fontId="1" fillId="0" borderId="35" xfId="0" applyNumberFormat="1" applyFont="1" applyFill="1" applyBorder="1" applyAlignment="1">
      <alignment horizontal="right"/>
    </xf>
    <xf numFmtId="0" fontId="1" fillId="0" borderId="39" xfId="0" applyNumberFormat="1" applyFont="1" applyFill="1" applyBorder="1" applyAlignment="1">
      <alignment horizontal="right"/>
    </xf>
    <xf numFmtId="0" fontId="1" fillId="0" borderId="44" xfId="0" applyNumberFormat="1" applyFont="1" applyFill="1" applyBorder="1" applyAlignment="1">
      <alignment horizontal="right"/>
    </xf>
    <xf numFmtId="0" fontId="1" fillId="0" borderId="72" xfId="0" applyNumberFormat="1" applyFont="1" applyFill="1" applyBorder="1" applyAlignment="1">
      <alignment horizontal="right"/>
    </xf>
    <xf numFmtId="0" fontId="5" fillId="2" borderId="55" xfId="0" applyNumberFormat="1" applyFont="1" applyFill="1" applyBorder="1" applyAlignment="1">
      <alignment horizontal="right"/>
    </xf>
    <xf numFmtId="0" fontId="5" fillId="2" borderId="63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/>
    <xf numFmtId="3" fontId="1" fillId="0" borderId="42" xfId="0" applyNumberFormat="1" applyFont="1" applyFill="1" applyBorder="1" applyAlignment="1"/>
    <xf numFmtId="3" fontId="12" fillId="0" borderId="0" xfId="0" applyNumberFormat="1" applyFont="1" applyFill="1" applyBorder="1" applyAlignment="1">
      <alignment horizontal="left"/>
    </xf>
    <xf numFmtId="0" fontId="9" fillId="0" borderId="58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left"/>
    </xf>
    <xf numFmtId="4" fontId="5" fillId="2" borderId="28" xfId="0" applyNumberFormat="1" applyFont="1" applyFill="1" applyBorder="1" applyAlignment="1"/>
    <xf numFmtId="3" fontId="5" fillId="2" borderId="57" xfId="0" applyNumberFormat="1" applyFont="1" applyFill="1" applyBorder="1" applyAlignment="1"/>
    <xf numFmtId="0" fontId="5" fillId="2" borderId="62" xfId="0" applyNumberFormat="1" applyFont="1" applyFill="1" applyBorder="1" applyAlignment="1">
      <alignment horizontal="right"/>
    </xf>
    <xf numFmtId="0" fontId="5" fillId="2" borderId="23" xfId="0" applyNumberFormat="1" applyFont="1" applyFill="1" applyBorder="1" applyAlignment="1"/>
    <xf numFmtId="0" fontId="5" fillId="2" borderId="5" xfId="0" applyNumberFormat="1" applyFont="1" applyFill="1" applyBorder="1" applyAlignment="1"/>
    <xf numFmtId="0" fontId="8" fillId="2" borderId="26" xfId="0" applyNumberFormat="1" applyFont="1" applyFill="1" applyBorder="1" applyAlignment="1">
      <alignment horizontal="centerContinuous"/>
    </xf>
    <xf numFmtId="0" fontId="8" fillId="2" borderId="3" xfId="0" applyNumberFormat="1" applyFont="1" applyFill="1" applyBorder="1" applyAlignment="1">
      <alignment horizontal="centerContinuous"/>
    </xf>
    <xf numFmtId="0" fontId="5" fillId="0" borderId="0" xfId="0" applyFont="1" applyFill="1"/>
    <xf numFmtId="0" fontId="5" fillId="2" borderId="24" xfId="0" applyNumberFormat="1" applyFont="1" applyFill="1" applyBorder="1" applyAlignment="1"/>
    <xf numFmtId="0" fontId="8" fillId="2" borderId="7" xfId="0" applyNumberFormat="1" applyFont="1" applyFill="1" applyBorder="1" applyAlignment="1">
      <alignment horizontal="centerContinuous"/>
    </xf>
    <xf numFmtId="4" fontId="5" fillId="2" borderId="57" xfId="0" applyNumberFormat="1" applyFont="1" applyFill="1" applyBorder="1" applyAlignment="1"/>
    <xf numFmtId="0" fontId="1" fillId="0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5" fillId="0" borderId="0" xfId="0" applyFont="1" applyBorder="1"/>
    <xf numFmtId="0" fontId="5" fillId="0" borderId="0" xfId="0" applyNumberFormat="1" applyFont="1" applyFill="1" applyBorder="1" applyAlignment="1">
      <alignment horizontal="left"/>
    </xf>
    <xf numFmtId="0" fontId="5" fillId="0" borderId="21" xfId="0" applyNumberFormat="1" applyFont="1" applyFill="1" applyBorder="1" applyAlignment="1">
      <alignment horizontal="left"/>
    </xf>
    <xf numFmtId="0" fontId="5" fillId="0" borderId="5" xfId="0" applyNumberFormat="1" applyFont="1" applyFill="1" applyBorder="1" applyAlignment="1">
      <alignment horizontal="left"/>
    </xf>
    <xf numFmtId="0" fontId="12" fillId="0" borderId="0" xfId="0" applyFont="1" applyBorder="1"/>
    <xf numFmtId="0" fontId="1" fillId="2" borderId="8" xfId="0" applyNumberFormat="1" applyFont="1" applyFill="1" applyBorder="1" applyAlignment="1">
      <alignment horizontal="left"/>
    </xf>
    <xf numFmtId="0" fontId="5" fillId="2" borderId="8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1" fillId="0" borderId="10" xfId="0" applyNumberFormat="1" applyFont="1" applyFill="1" applyBorder="1" applyAlignment="1">
      <alignment horizontal="left"/>
    </xf>
    <xf numFmtId="0" fontId="5" fillId="8" borderId="0" xfId="0" applyNumberFormat="1" applyFont="1" applyFill="1" applyBorder="1" applyAlignment="1">
      <alignment horizontal="left"/>
    </xf>
    <xf numFmtId="0" fontId="1" fillId="0" borderId="11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1" fillId="0" borderId="73" xfId="0" applyNumberFormat="1" applyFont="1" applyFill="1" applyBorder="1" applyAlignment="1">
      <alignment horizontal="left"/>
    </xf>
    <xf numFmtId="0" fontId="1" fillId="2" borderId="29" xfId="0" applyNumberFormat="1" applyFont="1" applyFill="1" applyBorder="1" applyAlignment="1">
      <alignment horizontal="left"/>
    </xf>
    <xf numFmtId="0" fontId="1" fillId="0" borderId="36" xfId="0" applyNumberFormat="1" applyFont="1" applyFill="1" applyBorder="1" applyAlignment="1">
      <alignment horizontal="left"/>
    </xf>
    <xf numFmtId="0" fontId="5" fillId="0" borderId="34" xfId="0" applyNumberFormat="1" applyFont="1" applyFill="1" applyBorder="1" applyAlignment="1">
      <alignment horizontal="right"/>
    </xf>
    <xf numFmtId="0" fontId="5" fillId="0" borderId="35" xfId="0" applyNumberFormat="1" applyFont="1" applyFill="1" applyBorder="1" applyAlignment="1">
      <alignment horizontal="right"/>
    </xf>
    <xf numFmtId="0" fontId="5" fillId="2" borderId="29" xfId="0" applyNumberFormat="1" applyFont="1" applyFill="1" applyBorder="1" applyAlignment="1">
      <alignment horizontal="left"/>
    </xf>
    <xf numFmtId="0" fontId="1" fillId="0" borderId="51" xfId="0" applyNumberFormat="1" applyFont="1" applyFill="1" applyBorder="1" applyAlignment="1">
      <alignment horizontal="right"/>
    </xf>
    <xf numFmtId="0" fontId="1" fillId="0" borderId="52" xfId="0" applyNumberFormat="1" applyFont="1" applyFill="1" applyBorder="1" applyAlignment="1">
      <alignment horizontal="right"/>
    </xf>
    <xf numFmtId="0" fontId="1" fillId="0" borderId="53" xfId="0" applyNumberFormat="1" applyFont="1" applyFill="1" applyBorder="1" applyAlignment="1">
      <alignment horizontal="left"/>
    </xf>
    <xf numFmtId="0" fontId="1" fillId="0" borderId="74" xfId="0" applyNumberFormat="1" applyFont="1" applyFill="1" applyBorder="1" applyAlignment="1"/>
    <xf numFmtId="3" fontId="1" fillId="0" borderId="27" xfId="0" applyNumberFormat="1" applyFont="1" applyFill="1" applyBorder="1" applyAlignment="1"/>
    <xf numFmtId="0" fontId="5" fillId="2" borderId="1" xfId="0" applyNumberFormat="1" applyFont="1" applyFill="1" applyBorder="1" applyAlignment="1">
      <alignment horizontal="left"/>
    </xf>
    <xf numFmtId="0" fontId="5" fillId="2" borderId="56" xfId="0" applyNumberFormat="1" applyFont="1" applyFill="1" applyBorder="1" applyAlignment="1"/>
    <xf numFmtId="0" fontId="5" fillId="2" borderId="12" xfId="0" applyNumberFormat="1" applyFont="1" applyFill="1" applyBorder="1" applyAlignment="1">
      <alignment horizontal="left"/>
    </xf>
    <xf numFmtId="0" fontId="1" fillId="0" borderId="27" xfId="0" applyNumberFormat="1" applyFont="1" applyFill="1" applyBorder="1" applyAlignment="1"/>
    <xf numFmtId="0" fontId="1" fillId="0" borderId="20" xfId="0" applyNumberFormat="1" applyFont="1" applyFill="1" applyBorder="1" applyAlignment="1">
      <alignment horizontal="left"/>
    </xf>
    <xf numFmtId="0" fontId="1" fillId="0" borderId="45" xfId="0" applyNumberFormat="1" applyFont="1" applyFill="1" applyBorder="1" applyAlignment="1">
      <alignment horizontal="left"/>
    </xf>
    <xf numFmtId="0" fontId="5" fillId="0" borderId="24" xfId="0" applyNumberFormat="1" applyFont="1" applyFill="1" applyBorder="1" applyAlignment="1">
      <alignment horizontal="left"/>
    </xf>
    <xf numFmtId="0" fontId="5" fillId="0" borderId="60" xfId="0" applyNumberFormat="1" applyFont="1" applyFill="1" applyBorder="1" applyAlignment="1">
      <alignment horizontal="left"/>
    </xf>
    <xf numFmtId="0" fontId="5" fillId="0" borderId="12" xfId="0" applyNumberFormat="1" applyFont="1" applyFill="1" applyBorder="1" applyAlignment="1">
      <alignment horizontal="left"/>
    </xf>
    <xf numFmtId="0" fontId="1" fillId="0" borderId="75" xfId="0" applyNumberFormat="1" applyFont="1" applyFill="1" applyBorder="1" applyAlignment="1">
      <alignment horizontal="left"/>
    </xf>
    <xf numFmtId="3" fontId="5" fillId="2" borderId="15" xfId="0" applyNumberFormat="1" applyFont="1" applyFill="1" applyBorder="1" applyAlignment="1"/>
    <xf numFmtId="0" fontId="5" fillId="2" borderId="21" xfId="0" applyNumberFormat="1" applyFont="1" applyFill="1" applyBorder="1" applyAlignment="1">
      <alignment horizontal="left"/>
    </xf>
    <xf numFmtId="0" fontId="5" fillId="0" borderId="36" xfId="0" applyNumberFormat="1" applyFont="1" applyFill="1" applyBorder="1" applyAlignment="1">
      <alignment horizontal="left"/>
    </xf>
    <xf numFmtId="3" fontId="1" fillId="10" borderId="4" xfId="0" applyNumberFormat="1" applyFont="1" applyFill="1" applyBorder="1" applyAlignment="1"/>
    <xf numFmtId="3" fontId="12" fillId="0" borderId="0" xfId="0" applyNumberFormat="1" applyFont="1" applyFill="1" applyBorder="1" applyAlignment="1"/>
    <xf numFmtId="3" fontId="5" fillId="2" borderId="30" xfId="0" applyNumberFormat="1" applyFont="1" applyFill="1" applyBorder="1" applyAlignment="1"/>
    <xf numFmtId="3" fontId="1" fillId="0" borderId="70" xfId="0" applyNumberFormat="1" applyFont="1" applyFill="1" applyBorder="1" applyAlignment="1"/>
    <xf numFmtId="4" fontId="5" fillId="2" borderId="64" xfId="0" applyNumberFormat="1" applyFont="1" applyFill="1" applyBorder="1" applyAlignment="1"/>
    <xf numFmtId="3" fontId="5" fillId="2" borderId="37" xfId="0" applyNumberFormat="1" applyFont="1" applyFill="1" applyBorder="1" applyAlignment="1"/>
    <xf numFmtId="0" fontId="1" fillId="0" borderId="74" xfId="0" applyNumberFormat="1" applyFont="1" applyFill="1" applyBorder="1" applyAlignment="1">
      <alignment horizontal="left"/>
    </xf>
    <xf numFmtId="0" fontId="1" fillId="0" borderId="20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right"/>
    </xf>
    <xf numFmtId="0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 applyAlignment="1"/>
    <xf numFmtId="0" fontId="7" fillId="2" borderId="15" xfId="0" applyNumberFormat="1" applyFont="1" applyFill="1" applyBorder="1" applyAlignment="1"/>
    <xf numFmtId="0" fontId="5" fillId="2" borderId="56" xfId="0" applyNumberFormat="1" applyFont="1" applyFill="1" applyBorder="1" applyAlignment="1">
      <alignment horizontal="left"/>
    </xf>
    <xf numFmtId="3" fontId="5" fillId="2" borderId="76" xfId="0" applyNumberFormat="1" applyFont="1" applyFill="1" applyBorder="1" applyAlignment="1"/>
    <xf numFmtId="0" fontId="5" fillId="2" borderId="58" xfId="0" applyNumberFormat="1" applyFont="1" applyFill="1" applyBorder="1" applyAlignment="1">
      <alignment horizontal="right"/>
    </xf>
    <xf numFmtId="0" fontId="5" fillId="2" borderId="59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left"/>
    </xf>
    <xf numFmtId="0" fontId="5" fillId="2" borderId="60" xfId="0" applyNumberFormat="1" applyFont="1" applyFill="1" applyBorder="1" applyAlignment="1">
      <alignment horizontal="left"/>
    </xf>
    <xf numFmtId="3" fontId="5" fillId="2" borderId="61" xfId="0" applyNumberFormat="1" applyFont="1" applyFill="1" applyBorder="1" applyAlignment="1"/>
    <xf numFmtId="3" fontId="5" fillId="2" borderId="77" xfId="0" applyNumberFormat="1" applyFont="1" applyFill="1" applyBorder="1" applyAlignment="1"/>
    <xf numFmtId="3" fontId="5" fillId="2" borderId="78" xfId="0" applyNumberFormat="1" applyFont="1" applyFill="1" applyBorder="1" applyAlignment="1"/>
    <xf numFmtId="4" fontId="5" fillId="2" borderId="79" xfId="0" applyNumberFormat="1" applyFont="1" applyFill="1" applyBorder="1" applyAlignment="1"/>
    <xf numFmtId="4" fontId="5" fillId="2" borderId="80" xfId="0" applyNumberFormat="1" applyFont="1" applyFill="1" applyBorder="1" applyAlignment="1"/>
    <xf numFmtId="3" fontId="5" fillId="2" borderId="41" xfId="0" applyNumberFormat="1" applyFont="1" applyFill="1" applyBorder="1" applyAlignment="1"/>
    <xf numFmtId="0" fontId="1" fillId="0" borderId="33" xfId="0" applyNumberFormat="1" applyFont="1" applyFill="1" applyBorder="1" applyAlignment="1"/>
    <xf numFmtId="3" fontId="1" fillId="0" borderId="28" xfId="0" applyNumberFormat="1" applyFont="1" applyFill="1" applyBorder="1" applyAlignment="1"/>
    <xf numFmtId="0" fontId="9" fillId="2" borderId="8" xfId="0" applyNumberFormat="1" applyFont="1" applyFill="1" applyBorder="1" applyAlignment="1"/>
    <xf numFmtId="3" fontId="1" fillId="15" borderId="4" xfId="0" applyNumberFormat="1" applyFont="1" applyFill="1" applyBorder="1" applyAlignment="1"/>
    <xf numFmtId="0" fontId="9" fillId="0" borderId="81" xfId="0" applyNumberFormat="1" applyFont="1" applyFill="1" applyBorder="1" applyAlignment="1">
      <alignment horizontal="center"/>
    </xf>
    <xf numFmtId="0" fontId="5" fillId="2" borderId="60" xfId="0" applyNumberFormat="1" applyFont="1" applyFill="1" applyBorder="1" applyAlignment="1"/>
    <xf numFmtId="3" fontId="5" fillId="2" borderId="55" xfId="0" applyNumberFormat="1" applyFont="1" applyFill="1" applyBorder="1" applyAlignment="1"/>
    <xf numFmtId="3" fontId="5" fillId="2" borderId="59" xfId="0" applyNumberFormat="1" applyFont="1" applyFill="1" applyBorder="1" applyAlignment="1"/>
    <xf numFmtId="3" fontId="5" fillId="2" borderId="63" xfId="0" applyNumberFormat="1" applyFont="1" applyFill="1" applyBorder="1" applyAlignment="1"/>
    <xf numFmtId="0" fontId="9" fillId="2" borderId="2" xfId="0" applyNumberFormat="1" applyFont="1" applyFill="1" applyBorder="1" applyAlignment="1">
      <alignment horizontal="right"/>
    </xf>
    <xf numFmtId="0" fontId="9" fillId="2" borderId="29" xfId="0" applyNumberFormat="1" applyFont="1" applyFill="1" applyBorder="1" applyAlignment="1">
      <alignment horizontal="left"/>
    </xf>
    <xf numFmtId="3" fontId="1" fillId="0" borderId="82" xfId="0" applyNumberFormat="1" applyFont="1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19" fillId="0" borderId="29" xfId="0" applyNumberFormat="1" applyFont="1" applyFill="1" applyBorder="1" applyAlignment="1"/>
    <xf numFmtId="0" fontId="19" fillId="0" borderId="2" xfId="0" applyNumberFormat="1" applyFont="1" applyFill="1" applyBorder="1" applyAlignment="1"/>
    <xf numFmtId="0" fontId="19" fillId="0" borderId="6" xfId="0" applyNumberFormat="1" applyFont="1" applyFill="1" applyBorder="1" applyAlignment="1">
      <alignment horizontal="right"/>
    </xf>
    <xf numFmtId="0" fontId="18" fillId="0" borderId="29" xfId="0" applyNumberFormat="1" applyFont="1" applyFill="1" applyBorder="1" applyAlignment="1"/>
    <xf numFmtId="0" fontId="3" fillId="10" borderId="0" xfId="0" applyNumberFormat="1" applyFont="1" applyFill="1" applyBorder="1" applyAlignment="1">
      <alignment horizontal="left"/>
    </xf>
    <xf numFmtId="0" fontId="0" fillId="0" borderId="0" xfId="0" applyFill="1"/>
    <xf numFmtId="3" fontId="1" fillId="0" borderId="65" xfId="0" applyNumberFormat="1" applyFont="1" applyFill="1" applyBorder="1" applyAlignment="1">
      <alignment horizontal="left"/>
    </xf>
    <xf numFmtId="4" fontId="1" fillId="4" borderId="82" xfId="0" applyNumberFormat="1" applyFont="1" applyFill="1" applyBorder="1" applyAlignment="1"/>
    <xf numFmtId="3" fontId="9" fillId="16" borderId="4" xfId="0" applyNumberFormat="1" applyFont="1" applyFill="1" applyBorder="1" applyAlignment="1"/>
    <xf numFmtId="3" fontId="1" fillId="16" borderId="4" xfId="0" applyNumberFormat="1" applyFont="1" applyFill="1" applyBorder="1" applyAlignment="1"/>
    <xf numFmtId="3" fontId="1" fillId="17" borderId="4" xfId="0" applyNumberFormat="1" applyFont="1" applyFill="1" applyBorder="1" applyAlignment="1"/>
    <xf numFmtId="3" fontId="1" fillId="18" borderId="4" xfId="0" applyNumberFormat="1" applyFont="1" applyFill="1" applyBorder="1" applyAlignment="1"/>
    <xf numFmtId="4" fontId="5" fillId="5" borderId="4" xfId="0" applyNumberFormat="1" applyFont="1" applyFill="1" applyBorder="1" applyAlignment="1">
      <alignment horizontal="right"/>
    </xf>
    <xf numFmtId="3" fontId="0" fillId="0" borderId="0" xfId="0" applyNumberFormat="1"/>
    <xf numFmtId="0" fontId="1" fillId="0" borderId="65" xfId="0" applyNumberFormat="1" applyFont="1" applyFill="1" applyBorder="1" applyAlignment="1">
      <alignment horizontal="left"/>
    </xf>
    <xf numFmtId="4" fontId="1" fillId="2" borderId="82" xfId="0" applyNumberFormat="1" applyFont="1" applyFill="1" applyBorder="1" applyAlignment="1"/>
    <xf numFmtId="3" fontId="0" fillId="0" borderId="0" xfId="0" applyNumberFormat="1" applyFill="1"/>
    <xf numFmtId="4" fontId="5" fillId="0" borderId="0" xfId="0" applyNumberFormat="1" applyFont="1" applyFill="1" applyBorder="1" applyAlignment="1"/>
    <xf numFmtId="0" fontId="18" fillId="0" borderId="2" xfId="0" applyNumberFormat="1" applyFont="1" applyFill="1" applyBorder="1" applyAlignment="1"/>
    <xf numFmtId="0" fontId="18" fillId="0" borderId="6" xfId="0" applyNumberFormat="1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Border="1" applyAlignment="1"/>
    <xf numFmtId="0" fontId="19" fillId="0" borderId="29" xfId="0" applyNumberFormat="1" applyFont="1" applyFill="1" applyBorder="1" applyAlignment="1">
      <alignment horizontal="left"/>
    </xf>
    <xf numFmtId="3" fontId="18" fillId="0" borderId="4" xfId="0" applyNumberFormat="1" applyFont="1" applyFill="1" applyBorder="1" applyAlignment="1">
      <alignment horizontal="right"/>
    </xf>
    <xf numFmtId="0" fontId="18" fillId="0" borderId="0" xfId="0" applyFont="1" applyAlignment="1"/>
    <xf numFmtId="0" fontId="18" fillId="0" borderId="0" xfId="0" applyFont="1" applyBorder="1" applyAlignment="1">
      <alignment horizontal="right"/>
    </xf>
    <xf numFmtId="0" fontId="18" fillId="0" borderId="0" xfId="0" applyFont="1" applyBorder="1" applyAlignment="1"/>
    <xf numFmtId="0" fontId="18" fillId="0" borderId="2" xfId="0" applyNumberFormat="1" applyFont="1" applyFill="1" applyBorder="1" applyAlignment="1">
      <alignment horizontal="right"/>
    </xf>
    <xf numFmtId="0" fontId="25" fillId="0" borderId="29" xfId="0" applyNumberFormat="1" applyFont="1" applyFill="1" applyBorder="1" applyAlignment="1"/>
    <xf numFmtId="0" fontId="18" fillId="0" borderId="71" xfId="0" applyNumberFormat="1" applyFont="1" applyFill="1" applyBorder="1" applyAlignment="1"/>
    <xf numFmtId="0" fontId="18" fillId="0" borderId="72" xfId="0" applyNumberFormat="1" applyFont="1" applyFill="1" applyBorder="1" applyAlignment="1">
      <alignment horizontal="right"/>
    </xf>
    <xf numFmtId="0" fontId="18" fillId="0" borderId="73" xfId="0" applyNumberFormat="1" applyFont="1" applyFill="1" applyBorder="1" applyAlignment="1"/>
    <xf numFmtId="0" fontId="18" fillId="0" borderId="38" xfId="0" applyNumberFormat="1" applyFont="1" applyFill="1" applyBorder="1" applyAlignment="1"/>
    <xf numFmtId="0" fontId="18" fillId="0" borderId="39" xfId="0" applyNumberFormat="1" applyFont="1" applyFill="1" applyBorder="1" applyAlignment="1">
      <alignment horizontal="right"/>
    </xf>
    <xf numFmtId="0" fontId="18" fillId="0" borderId="20" xfId="0" applyNumberFormat="1" applyFont="1" applyFill="1" applyBorder="1" applyAlignment="1"/>
    <xf numFmtId="0" fontId="18" fillId="0" borderId="34" xfId="0" applyNumberFormat="1" applyFont="1" applyFill="1" applyBorder="1" applyAlignment="1"/>
    <xf numFmtId="0" fontId="18" fillId="0" borderId="35" xfId="0" applyNumberFormat="1" applyFont="1" applyFill="1" applyBorder="1" applyAlignment="1">
      <alignment horizontal="right"/>
    </xf>
    <xf numFmtId="0" fontId="18" fillId="0" borderId="36" xfId="0" applyNumberFormat="1" applyFont="1" applyFill="1" applyBorder="1" applyAlignment="1"/>
    <xf numFmtId="0" fontId="20" fillId="0" borderId="21" xfId="0" applyNumberFormat="1" applyFont="1" applyFill="1" applyBorder="1" applyAlignment="1"/>
    <xf numFmtId="0" fontId="20" fillId="0" borderId="2" xfId="0" applyNumberFormat="1" applyFont="1" applyFill="1" applyBorder="1" applyAlignment="1"/>
    <xf numFmtId="0" fontId="20" fillId="0" borderId="6" xfId="0" applyNumberFormat="1" applyFont="1" applyFill="1" applyBorder="1" applyAlignment="1">
      <alignment horizontal="right"/>
    </xf>
    <xf numFmtId="0" fontId="20" fillId="0" borderId="29" xfId="0" applyNumberFormat="1" applyFont="1" applyFill="1" applyBorder="1" applyAlignment="1"/>
    <xf numFmtId="0" fontId="17" fillId="0" borderId="2" xfId="0" applyNumberFormat="1" applyFont="1" applyFill="1" applyBorder="1" applyAlignment="1"/>
    <xf numFmtId="0" fontId="17" fillId="0" borderId="6" xfId="0" applyNumberFormat="1" applyFont="1" applyFill="1" applyBorder="1" applyAlignment="1">
      <alignment horizontal="right"/>
    </xf>
    <xf numFmtId="0" fontId="17" fillId="0" borderId="29" xfId="0" applyNumberFormat="1" applyFont="1" applyFill="1" applyBorder="1" applyAlignment="1"/>
    <xf numFmtId="0" fontId="17" fillId="0" borderId="2" xfId="0" applyNumberFormat="1" applyFont="1" applyFill="1" applyBorder="1" applyAlignment="1">
      <alignment horizontal="right"/>
    </xf>
    <xf numFmtId="0" fontId="17" fillId="0" borderId="29" xfId="0" applyNumberFormat="1" applyFont="1" applyFill="1" applyBorder="1" applyAlignment="1">
      <alignment horizontal="left"/>
    </xf>
    <xf numFmtId="3" fontId="19" fillId="0" borderId="4" xfId="0" applyNumberFormat="1" applyFont="1" applyFill="1" applyBorder="1" applyAlignment="1">
      <alignment horizontal="right"/>
    </xf>
    <xf numFmtId="0" fontId="20" fillId="5" borderId="2" xfId="0" applyNumberFormat="1" applyFont="1" applyFill="1" applyBorder="1" applyAlignment="1"/>
    <xf numFmtId="0" fontId="20" fillId="5" borderId="6" xfId="0" applyNumberFormat="1" applyFont="1" applyFill="1" applyBorder="1" applyAlignment="1">
      <alignment horizontal="right"/>
    </xf>
    <xf numFmtId="0" fontId="20" fillId="5" borderId="29" xfId="0" applyNumberFormat="1" applyFont="1" applyFill="1" applyBorder="1" applyAlignment="1"/>
    <xf numFmtId="0" fontId="20" fillId="0" borderId="29" xfId="0" applyNumberFormat="1" applyFont="1" applyFill="1" applyBorder="1" applyAlignment="1">
      <alignment horizontal="left"/>
    </xf>
    <xf numFmtId="0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right"/>
    </xf>
    <xf numFmtId="2" fontId="25" fillId="0" borderId="0" xfId="0" applyNumberFormat="1" applyFont="1" applyFill="1" applyBorder="1" applyAlignment="1"/>
    <xf numFmtId="3" fontId="17" fillId="0" borderId="4" xfId="0" applyNumberFormat="1" applyFont="1" applyFill="1" applyBorder="1" applyAlignment="1">
      <alignment horizontal="right"/>
    </xf>
    <xf numFmtId="0" fontId="19" fillId="0" borderId="29" xfId="0" applyFont="1" applyFill="1" applyBorder="1" applyAlignment="1"/>
    <xf numFmtId="3" fontId="20" fillId="0" borderId="4" xfId="0" applyNumberFormat="1" applyFont="1" applyFill="1" applyBorder="1" applyAlignment="1">
      <alignment horizontal="right"/>
    </xf>
    <xf numFmtId="0" fontId="20" fillId="5" borderId="2" xfId="0" applyNumberFormat="1" applyFont="1" applyFill="1" applyBorder="1" applyAlignment="1">
      <alignment horizontal="right"/>
    </xf>
    <xf numFmtId="0" fontId="26" fillId="10" borderId="54" xfId="0" applyNumberFormat="1" applyFont="1" applyFill="1" applyBorder="1" applyAlignment="1"/>
    <xf numFmtId="0" fontId="26" fillId="10" borderId="55" xfId="0" applyNumberFormat="1" applyFont="1" applyFill="1" applyBorder="1" applyAlignment="1"/>
    <xf numFmtId="0" fontId="26" fillId="10" borderId="1" xfId="0" applyNumberFormat="1" applyFont="1" applyFill="1" applyBorder="1" applyAlignment="1"/>
    <xf numFmtId="0" fontId="27" fillId="10" borderId="58" xfId="0" applyNumberFormat="1" applyFont="1" applyFill="1" applyBorder="1" applyAlignment="1"/>
    <xf numFmtId="0" fontId="27" fillId="10" borderId="59" xfId="0" applyNumberFormat="1" applyFont="1" applyFill="1" applyBorder="1" applyAlignment="1"/>
    <xf numFmtId="0" fontId="27" fillId="10" borderId="0" xfId="0" applyNumberFormat="1" applyFont="1" applyFill="1" applyBorder="1" applyAlignment="1"/>
    <xf numFmtId="0" fontId="27" fillId="10" borderId="51" xfId="0" applyNumberFormat="1" applyFont="1" applyFill="1" applyBorder="1" applyAlignment="1"/>
    <xf numFmtId="0" fontId="27" fillId="10" borderId="52" xfId="0" applyNumberFormat="1" applyFont="1" applyFill="1" applyBorder="1" applyAlignment="1"/>
    <xf numFmtId="0" fontId="27" fillId="10" borderId="53" xfId="0" applyNumberFormat="1" applyFont="1" applyFill="1" applyBorder="1" applyAlignment="1"/>
    <xf numFmtId="0" fontId="27" fillId="10" borderId="54" xfId="0" applyNumberFormat="1" applyFont="1" applyFill="1" applyBorder="1" applyAlignment="1"/>
    <xf numFmtId="0" fontId="27" fillId="10" borderId="55" xfId="0" applyNumberFormat="1" applyFont="1" applyFill="1" applyBorder="1" applyAlignment="1"/>
    <xf numFmtId="0" fontId="27" fillId="10" borderId="1" xfId="0" applyNumberFormat="1" applyFont="1" applyFill="1" applyBorder="1" applyAlignment="1"/>
    <xf numFmtId="0" fontId="27" fillId="10" borderId="62" xfId="0" applyNumberFormat="1" applyFont="1" applyFill="1" applyBorder="1" applyAlignment="1"/>
    <xf numFmtId="0" fontId="27" fillId="10" borderId="63" xfId="0" applyNumberFormat="1" applyFont="1" applyFill="1" applyBorder="1" applyAlignment="1"/>
    <xf numFmtId="0" fontId="27" fillId="10" borderId="21" xfId="0" applyNumberFormat="1" applyFont="1" applyFill="1" applyBorder="1" applyAlignment="1"/>
    <xf numFmtId="0" fontId="24" fillId="0" borderId="0" xfId="0" applyFont="1" applyFill="1" applyBorder="1" applyAlignment="1"/>
    <xf numFmtId="0" fontId="25" fillId="0" borderId="0" xfId="0" applyFont="1" applyFill="1" applyBorder="1" applyAlignment="1"/>
    <xf numFmtId="0" fontId="18" fillId="0" borderId="71" xfId="0" applyNumberFormat="1" applyFont="1" applyFill="1" applyBorder="1" applyAlignment="1">
      <alignment horizontal="center"/>
    </xf>
    <xf numFmtId="0" fontId="18" fillId="10" borderId="54" xfId="0" applyNumberFormat="1" applyFont="1" applyFill="1" applyBorder="1" applyAlignment="1"/>
    <xf numFmtId="0" fontId="18" fillId="10" borderId="55" xfId="0" applyNumberFormat="1" applyFont="1" applyFill="1" applyBorder="1" applyAlignment="1"/>
    <xf numFmtId="0" fontId="18" fillId="10" borderId="1" xfId="0" applyNumberFormat="1" applyFont="1" applyFill="1" applyBorder="1" applyAlignment="1"/>
    <xf numFmtId="0" fontId="20" fillId="6" borderId="58" xfId="0" applyNumberFormat="1" applyFont="1" applyFill="1" applyBorder="1" applyAlignment="1"/>
    <xf numFmtId="0" fontId="20" fillId="6" borderId="59" xfId="0" applyNumberFormat="1" applyFont="1" applyFill="1" applyBorder="1" applyAlignment="1"/>
    <xf numFmtId="0" fontId="20" fillId="6" borderId="0" xfId="0" applyNumberFormat="1" applyFont="1" applyFill="1" applyBorder="1" applyAlignment="1"/>
    <xf numFmtId="0" fontId="18" fillId="6" borderId="62" xfId="0" applyNumberFormat="1" applyFont="1" applyFill="1" applyBorder="1" applyAlignment="1"/>
    <xf numFmtId="0" fontId="18" fillId="6" borderId="63" xfId="0" applyNumberFormat="1" applyFont="1" applyFill="1" applyBorder="1" applyAlignment="1"/>
    <xf numFmtId="0" fontId="18" fillId="6" borderId="21" xfId="0" applyNumberFormat="1" applyFont="1" applyFill="1" applyBorder="1" applyAlignment="1"/>
    <xf numFmtId="165" fontId="27" fillId="10" borderId="51" xfId="0" applyNumberFormat="1" applyFont="1" applyFill="1" applyBorder="1" applyAlignment="1"/>
    <xf numFmtId="165" fontId="27" fillId="10" borderId="52" xfId="0" applyNumberFormat="1" applyFont="1" applyFill="1" applyBorder="1" applyAlignment="1"/>
    <xf numFmtId="165" fontId="27" fillId="10" borderId="53" xfId="0" applyNumberFormat="1" applyFont="1" applyFill="1" applyBorder="1" applyAlignment="1"/>
    <xf numFmtId="0" fontId="18" fillId="6" borderId="54" xfId="0" applyNumberFormat="1" applyFont="1" applyFill="1" applyBorder="1" applyAlignment="1"/>
    <xf numFmtId="0" fontId="18" fillId="6" borderId="55" xfId="0" applyNumberFormat="1" applyFont="1" applyFill="1" applyBorder="1" applyAlignment="1"/>
    <xf numFmtId="0" fontId="18" fillId="6" borderId="1" xfId="0" applyNumberFormat="1" applyFont="1" applyFill="1" applyBorder="1" applyAlignment="1"/>
    <xf numFmtId="0" fontId="19" fillId="0" borderId="2" xfId="7" applyFont="1" applyFill="1" applyBorder="1" applyAlignment="1">
      <alignment vertical="top"/>
    </xf>
    <xf numFmtId="0" fontId="28" fillId="0" borderId="22" xfId="0" applyNumberFormat="1" applyFont="1" applyBorder="1" applyAlignment="1">
      <alignment horizontal="center"/>
    </xf>
    <xf numFmtId="0" fontId="28" fillId="0" borderId="23" xfId="0" applyNumberFormat="1" applyFont="1" applyBorder="1" applyAlignment="1">
      <alignment horizontal="center"/>
    </xf>
    <xf numFmtId="0" fontId="28" fillId="0" borderId="5" xfId="0" applyNumberFormat="1" applyFont="1" applyBorder="1" applyAlignment="1">
      <alignment horizontal="center"/>
    </xf>
    <xf numFmtId="0" fontId="28" fillId="19" borderId="67" xfId="0" applyNumberFormat="1" applyFont="1" applyFill="1" applyBorder="1" applyAlignment="1">
      <alignment horizontal="center"/>
    </xf>
    <xf numFmtId="0" fontId="28" fillId="10" borderId="67" xfId="0" applyNumberFormat="1" applyFont="1" applyFill="1" applyBorder="1" applyAlignment="1">
      <alignment horizontal="center"/>
    </xf>
    <xf numFmtId="0" fontId="26" fillId="0" borderId="0" xfId="0" applyNumberFormat="1" applyFont="1" applyAlignment="1">
      <alignment horizontal="center"/>
    </xf>
    <xf numFmtId="0" fontId="28" fillId="0" borderId="58" xfId="0" applyNumberFormat="1" applyFont="1" applyBorder="1" applyAlignment="1">
      <alignment horizontal="center"/>
    </xf>
    <xf numFmtId="0" fontId="28" fillId="0" borderId="59" xfId="0" applyNumberFormat="1" applyFont="1" applyBorder="1" applyAlignment="1">
      <alignment horizontal="center"/>
    </xf>
    <xf numFmtId="0" fontId="28" fillId="0" borderId="0" xfId="0" applyNumberFormat="1" applyFont="1" applyBorder="1" applyAlignment="1">
      <alignment horizontal="center"/>
    </xf>
    <xf numFmtId="0" fontId="28" fillId="19" borderId="61" xfId="0" applyNumberFormat="1" applyFont="1" applyFill="1" applyBorder="1" applyAlignment="1">
      <alignment horizontal="center"/>
    </xf>
    <xf numFmtId="0" fontId="28" fillId="10" borderId="61" xfId="0" applyNumberFormat="1" applyFont="1" applyFill="1" applyBorder="1" applyAlignment="1">
      <alignment horizontal="center"/>
    </xf>
    <xf numFmtId="0" fontId="27" fillId="19" borderId="61" xfId="0" applyNumberFormat="1" applyFont="1" applyFill="1" applyBorder="1" applyAlignment="1">
      <alignment horizontal="center"/>
    </xf>
    <xf numFmtId="0" fontId="28" fillId="0" borderId="83" xfId="0" applyNumberFormat="1" applyFont="1" applyBorder="1" applyAlignment="1">
      <alignment horizontal="center"/>
    </xf>
    <xf numFmtId="0" fontId="28" fillId="0" borderId="84" xfId="0" applyNumberFormat="1" applyFont="1" applyBorder="1" applyAlignment="1">
      <alignment horizontal="center"/>
    </xf>
    <xf numFmtId="0" fontId="28" fillId="0" borderId="85" xfId="0" applyNumberFormat="1" applyFont="1" applyBorder="1" applyAlignment="1">
      <alignment horizontal="center"/>
    </xf>
    <xf numFmtId="0" fontId="28" fillId="19" borderId="86" xfId="0" applyNumberFormat="1" applyFont="1" applyFill="1" applyBorder="1" applyAlignment="1">
      <alignment horizontal="center"/>
    </xf>
    <xf numFmtId="0" fontId="28" fillId="10" borderId="86" xfId="0" applyNumberFormat="1" applyFont="1" applyFill="1" applyBorder="1" applyAlignment="1">
      <alignment horizontal="center"/>
    </xf>
    <xf numFmtId="0" fontId="28" fillId="19" borderId="18" xfId="0" applyNumberFormat="1" applyFont="1" applyFill="1" applyBorder="1" applyAlignment="1">
      <alignment horizontal="center"/>
    </xf>
    <xf numFmtId="0" fontId="19" fillId="0" borderId="22" xfId="0" applyNumberFormat="1" applyFont="1" applyBorder="1" applyAlignment="1">
      <alignment horizontal="center"/>
    </xf>
    <xf numFmtId="0" fontId="19" fillId="0" borderId="23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0" fontId="19" fillId="19" borderId="67" xfId="0" applyNumberFormat="1" applyFont="1" applyFill="1" applyBorder="1" applyAlignment="1">
      <alignment horizontal="center"/>
    </xf>
    <xf numFmtId="0" fontId="19" fillId="6" borderId="67" xfId="0" applyNumberFormat="1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9" fillId="0" borderId="58" xfId="0" applyNumberFormat="1" applyFont="1" applyBorder="1" applyAlignment="1">
      <alignment horizontal="center"/>
    </xf>
    <xf numFmtId="0" fontId="19" fillId="0" borderId="59" xfId="0" applyNumberFormat="1" applyFont="1" applyBorder="1" applyAlignment="1">
      <alignment horizontal="center"/>
    </xf>
    <xf numFmtId="0" fontId="19" fillId="0" borderId="0" xfId="0" applyNumberFormat="1" applyFont="1" applyBorder="1" applyAlignment="1">
      <alignment horizontal="center"/>
    </xf>
    <xf numFmtId="0" fontId="19" fillId="19" borderId="61" xfId="0" applyNumberFormat="1" applyFont="1" applyFill="1" applyBorder="1" applyAlignment="1">
      <alignment horizontal="center"/>
    </xf>
    <xf numFmtId="0" fontId="19" fillId="6" borderId="61" xfId="0" applyNumberFormat="1" applyFont="1" applyFill="1" applyBorder="1" applyAlignment="1">
      <alignment horizontal="center"/>
    </xf>
    <xf numFmtId="0" fontId="20" fillId="19" borderId="61" xfId="0" applyNumberFormat="1" applyFont="1" applyFill="1" applyBorder="1" applyAlignment="1">
      <alignment horizontal="center"/>
    </xf>
    <xf numFmtId="0" fontId="19" fillId="0" borderId="62" xfId="0" applyNumberFormat="1" applyFont="1" applyBorder="1" applyAlignment="1">
      <alignment horizontal="center"/>
    </xf>
    <xf numFmtId="0" fontId="19" fillId="0" borderId="63" xfId="0" applyNumberFormat="1" applyFont="1" applyBorder="1" applyAlignment="1">
      <alignment horizontal="center"/>
    </xf>
    <xf numFmtId="0" fontId="19" fillId="0" borderId="21" xfId="0" applyNumberFormat="1" applyFont="1" applyBorder="1" applyAlignment="1">
      <alignment horizontal="center"/>
    </xf>
    <xf numFmtId="0" fontId="19" fillId="19" borderId="18" xfId="0" applyNumberFormat="1" applyFont="1" applyFill="1" applyBorder="1" applyAlignment="1">
      <alignment horizontal="center"/>
    </xf>
    <xf numFmtId="0" fontId="19" fillId="6" borderId="18" xfId="0" applyNumberFormat="1" applyFont="1" applyFill="1" applyBorder="1" applyAlignment="1">
      <alignment horizontal="center"/>
    </xf>
    <xf numFmtId="0" fontId="19" fillId="0" borderId="6" xfId="7" applyFont="1" applyFill="1" applyBorder="1" applyAlignment="1">
      <alignment vertical="top"/>
    </xf>
    <xf numFmtId="0" fontId="19" fillId="0" borderId="29" xfId="7" applyFont="1" applyFill="1" applyBorder="1" applyAlignment="1">
      <alignment vertical="top"/>
    </xf>
    <xf numFmtId="0" fontId="18" fillId="0" borderId="73" xfId="0" applyNumberFormat="1" applyFont="1" applyFill="1" applyBorder="1" applyAlignment="1">
      <alignment horizontal="center"/>
    </xf>
    <xf numFmtId="3" fontId="18" fillId="0" borderId="47" xfId="0" applyNumberFormat="1" applyFont="1" applyFill="1" applyBorder="1" applyAlignment="1">
      <alignment horizontal="right"/>
    </xf>
    <xf numFmtId="3" fontId="20" fillId="5" borderId="4" xfId="0" applyNumberFormat="1" applyFont="1" applyFill="1" applyBorder="1" applyAlignment="1">
      <alignment horizontal="right"/>
    </xf>
    <xf numFmtId="3" fontId="18" fillId="0" borderId="14" xfId="0" applyNumberFormat="1" applyFont="1" applyFill="1" applyBorder="1" applyAlignment="1">
      <alignment horizontal="right"/>
    </xf>
    <xf numFmtId="3" fontId="18" fillId="0" borderId="15" xfId="0" applyNumberFormat="1" applyFont="1" applyFill="1" applyBorder="1" applyAlignment="1">
      <alignment horizontal="right"/>
    </xf>
    <xf numFmtId="3" fontId="26" fillId="10" borderId="56" xfId="0" applyNumberFormat="1" applyFont="1" applyFill="1" applyBorder="1" applyAlignment="1">
      <alignment horizontal="right"/>
    </xf>
    <xf numFmtId="3" fontId="20" fillId="6" borderId="60" xfId="0" applyNumberFormat="1" applyFont="1" applyFill="1" applyBorder="1" applyAlignment="1">
      <alignment horizontal="right" vertical="top"/>
    </xf>
    <xf numFmtId="3" fontId="20" fillId="6" borderId="60" xfId="0" applyNumberFormat="1" applyFont="1" applyFill="1" applyBorder="1" applyAlignment="1">
      <alignment horizontal="right"/>
    </xf>
    <xf numFmtId="3" fontId="27" fillId="10" borderId="74" xfId="0" applyNumberFormat="1" applyFont="1" applyFill="1" applyBorder="1" applyAlignment="1">
      <alignment horizontal="right"/>
    </xf>
    <xf numFmtId="3" fontId="18" fillId="6" borderId="56" xfId="0" applyNumberFormat="1" applyFont="1" applyFill="1" applyBorder="1" applyAlignment="1">
      <alignment horizontal="right" vertical="top"/>
    </xf>
    <xf numFmtId="3" fontId="18" fillId="6" borderId="12" xfId="0" applyNumberFormat="1" applyFont="1" applyFill="1" applyBorder="1" applyAlignment="1">
      <alignment horizontal="right" vertical="top"/>
    </xf>
    <xf numFmtId="3" fontId="18" fillId="0" borderId="0" xfId="0" applyNumberFormat="1" applyFont="1" applyFill="1" applyBorder="1" applyAlignment="1">
      <alignment horizontal="right" vertical="top"/>
    </xf>
    <xf numFmtId="3" fontId="20" fillId="0" borderId="0" xfId="0" applyNumberFormat="1" applyFont="1" applyFill="1" applyBorder="1" applyAlignment="1">
      <alignment horizontal="right"/>
    </xf>
    <xf numFmtId="3" fontId="18" fillId="10" borderId="56" xfId="0" applyNumberFormat="1" applyFont="1" applyFill="1" applyBorder="1" applyAlignment="1">
      <alignment horizontal="right"/>
    </xf>
    <xf numFmtId="3" fontId="18" fillId="6" borderId="12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3" fontId="27" fillId="10" borderId="60" xfId="0" applyNumberFormat="1" applyFont="1" applyFill="1" applyBorder="1" applyAlignment="1">
      <alignment horizontal="right"/>
    </xf>
    <xf numFmtId="3" fontId="27" fillId="10" borderId="56" xfId="0" applyNumberFormat="1" applyFont="1" applyFill="1" applyBorder="1" applyAlignment="1">
      <alignment horizontal="right"/>
    </xf>
    <xf numFmtId="3" fontId="27" fillId="10" borderId="12" xfId="0" applyNumberFormat="1" applyFont="1" applyFill="1" applyBorder="1" applyAlignment="1">
      <alignment horizontal="right"/>
    </xf>
    <xf numFmtId="166" fontId="18" fillId="0" borderId="47" xfId="0" applyNumberFormat="1" applyFont="1" applyFill="1" applyBorder="1" applyAlignment="1">
      <alignment horizontal="right"/>
    </xf>
    <xf numFmtId="0" fontId="20" fillId="0" borderId="0" xfId="0" applyFont="1" applyFill="1" applyAlignment="1"/>
    <xf numFmtId="0" fontId="24" fillId="0" borderId="0" xfId="0" applyNumberFormat="1" applyFont="1" applyFill="1" applyBorder="1" applyAlignment="1"/>
    <xf numFmtId="0" fontId="32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Continuous"/>
    </xf>
    <xf numFmtId="0" fontId="33" fillId="0" borderId="0" xfId="0" applyFont="1" applyAlignment="1"/>
    <xf numFmtId="0" fontId="33" fillId="0" borderId="0" xfId="0" applyFont="1" applyBorder="1" applyAlignment="1">
      <alignment horizontal="right"/>
    </xf>
    <xf numFmtId="0" fontId="33" fillId="0" borderId="0" xfId="0" applyFont="1" applyBorder="1" applyAlignment="1"/>
    <xf numFmtId="0" fontId="33" fillId="0" borderId="0" xfId="0" applyFont="1" applyFill="1" applyBorder="1" applyAlignment="1"/>
    <xf numFmtId="0" fontId="20" fillId="0" borderId="0" xfId="0" applyNumberFormat="1" applyFont="1" applyFill="1" applyBorder="1" applyAlignment="1">
      <alignment horizontal="left"/>
    </xf>
    <xf numFmtId="0" fontId="17" fillId="0" borderId="48" xfId="0" applyNumberFormat="1" applyFont="1" applyFill="1" applyBorder="1" applyAlignment="1"/>
    <xf numFmtId="0" fontId="17" fillId="0" borderId="49" xfId="0" applyNumberFormat="1" applyFont="1" applyFill="1" applyBorder="1" applyAlignment="1">
      <alignment horizontal="right"/>
    </xf>
    <xf numFmtId="0" fontId="17" fillId="0" borderId="50" xfId="0" applyNumberFormat="1" applyFont="1" applyFill="1" applyBorder="1" applyAlignment="1"/>
    <xf numFmtId="3" fontId="17" fillId="0" borderId="70" xfId="0" applyNumberFormat="1" applyFont="1" applyFill="1" applyBorder="1" applyAlignment="1">
      <alignment horizontal="right"/>
    </xf>
    <xf numFmtId="0" fontId="19" fillId="0" borderId="48" xfId="0" applyNumberFormat="1" applyFont="1" applyFill="1" applyBorder="1" applyAlignment="1"/>
    <xf numFmtId="0" fontId="19" fillId="0" borderId="49" xfId="0" applyNumberFormat="1" applyFont="1" applyFill="1" applyBorder="1" applyAlignment="1">
      <alignment horizontal="right"/>
    </xf>
    <xf numFmtId="0" fontId="19" fillId="0" borderId="5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justify" wrapText="1"/>
    </xf>
    <xf numFmtId="0" fontId="3" fillId="10" borderId="87" xfId="0" applyNumberFormat="1" applyFont="1" applyFill="1" applyBorder="1" applyAlignment="1">
      <alignment horizontal="center"/>
    </xf>
    <xf numFmtId="0" fontId="3" fillId="10" borderId="88" xfId="0" applyNumberFormat="1" applyFont="1" applyFill="1" applyBorder="1" applyAlignment="1">
      <alignment horizontal="center"/>
    </xf>
    <xf numFmtId="0" fontId="3" fillId="10" borderId="89" xfId="0" applyNumberFormat="1" applyFont="1" applyFill="1" applyBorder="1" applyAlignment="1">
      <alignment horizontal="center"/>
    </xf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_GLOB9200" xfId="7" xr:uid="{00000000-0005-0000-0000-000008000000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K405"/>
  <sheetViews>
    <sheetView topLeftCell="A247" zoomScale="70" workbookViewId="0">
      <selection activeCell="C287" sqref="C287"/>
    </sheetView>
  </sheetViews>
  <sheetFormatPr defaultRowHeight="15" x14ac:dyDescent="0.2"/>
  <cols>
    <col min="1" max="1" width="11.109375" style="2" bestFit="1" customWidth="1"/>
    <col min="2" max="2" width="5.6640625" style="3" bestFit="1" customWidth="1"/>
    <col min="3" max="3" width="43.109375" style="3" customWidth="1"/>
    <col min="4" max="4" width="47.88671875" style="3" hidden="1" customWidth="1"/>
    <col min="5" max="5" width="11.5546875" style="2" bestFit="1" customWidth="1"/>
    <col min="6" max="6" width="12.109375" style="2" bestFit="1" customWidth="1"/>
    <col min="7" max="7" width="11.5546875" style="2" bestFit="1" customWidth="1"/>
    <col min="8" max="8" width="11" style="2" bestFit="1" customWidth="1"/>
    <col min="9" max="9" width="12.88671875" style="2" bestFit="1" customWidth="1"/>
    <col min="10" max="10" width="19.88671875" style="2" bestFit="1" customWidth="1"/>
    <col min="11" max="11" width="8.5546875" style="2" bestFit="1" customWidth="1"/>
    <col min="12" max="16384" width="8.88671875" style="2"/>
  </cols>
  <sheetData>
    <row r="1" spans="1:11" customFormat="1" x14ac:dyDescent="0.2">
      <c r="A1" s="52"/>
      <c r="B1" s="52"/>
      <c r="C1" s="12"/>
      <c r="D1" s="12"/>
      <c r="E1" s="4"/>
      <c r="F1" s="4"/>
      <c r="G1" s="4"/>
      <c r="H1" s="4"/>
      <c r="I1" s="4"/>
      <c r="J1" s="4"/>
      <c r="K1" s="4"/>
    </row>
    <row r="2" spans="1:11" customFormat="1" ht="26.25" x14ac:dyDescent="0.4">
      <c r="A2" s="236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customFormat="1" ht="26.25" x14ac:dyDescent="0.4">
      <c r="A3" s="236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customFormat="1" ht="26.25" x14ac:dyDescent="0.4">
      <c r="A4" s="236" t="s">
        <v>806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customFormat="1" ht="26.25" x14ac:dyDescent="0.4">
      <c r="A6" s="236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customFormat="1" ht="26.25" x14ac:dyDescent="0.4">
      <c r="A7" s="236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customFormat="1" ht="26.25" x14ac:dyDescent="0.4">
      <c r="A8" s="236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customFormat="1" ht="26.25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customFormat="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customFormat="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customFormat="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customFormat="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customFormat="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customFormat="1" ht="20.25" x14ac:dyDescent="0.3">
      <c r="A15" s="307"/>
      <c r="B15" s="242"/>
      <c r="C15" s="345"/>
      <c r="D15" s="374"/>
      <c r="E15" s="336" t="s">
        <v>807</v>
      </c>
      <c r="F15" s="337"/>
      <c r="G15" s="337"/>
      <c r="H15" s="337"/>
      <c r="I15" s="337"/>
      <c r="J15" s="340"/>
      <c r="K15" s="277" t="s">
        <v>209</v>
      </c>
    </row>
    <row r="16" spans="1:11" customFormat="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customFormat="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customFormat="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customFormat="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customFormat="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customFormat="1" ht="15.75" thickBot="1" x14ac:dyDescent="0.25">
      <c r="A21" s="309"/>
      <c r="B21" s="318"/>
      <c r="C21" s="63"/>
      <c r="D21" s="64"/>
      <c r="E21" s="28"/>
      <c r="F21" s="28"/>
      <c r="G21" s="28"/>
      <c r="H21" s="28"/>
      <c r="I21" s="28"/>
      <c r="J21" s="370"/>
      <c r="K21" s="273"/>
    </row>
    <row r="22" spans="1:11" s="6" customFormat="1" ht="17.25" thickTop="1" thickBot="1" x14ac:dyDescent="0.3">
      <c r="A22" s="13"/>
      <c r="B22" s="18" t="s">
        <v>235</v>
      </c>
      <c r="C22" s="361" t="s">
        <v>236</v>
      </c>
      <c r="D22" s="350" t="s">
        <v>237</v>
      </c>
      <c r="E22" s="30">
        <f>E25+E102+E120+E131</f>
        <v>930884542</v>
      </c>
      <c r="F22" s="30">
        <f>F25+F102+F120+F131</f>
        <v>190350046</v>
      </c>
      <c r="G22" s="30">
        <f>G25+G102+G120+G131-1</f>
        <v>516189400</v>
      </c>
      <c r="H22" s="30">
        <f>H25+H102+H120+H131</f>
        <v>232447925</v>
      </c>
      <c r="I22" s="46">
        <f>I25+I102+I120+I131</f>
        <v>297997971</v>
      </c>
      <c r="J22" s="382">
        <f>E22+F22+G22+H22-I22</f>
        <v>1571873942</v>
      </c>
      <c r="K22" s="275">
        <f>J22/J$142*100</f>
        <v>43.760410412026722</v>
      </c>
    </row>
    <row r="23" spans="1:11" s="6" customFormat="1" ht="16.5" thickTop="1" x14ac:dyDescent="0.25">
      <c r="A23" s="13"/>
      <c r="B23" s="18"/>
      <c r="C23" s="361" t="s">
        <v>238</v>
      </c>
      <c r="D23" s="350" t="s">
        <v>238</v>
      </c>
      <c r="E23" s="30"/>
      <c r="F23" s="30"/>
      <c r="G23" s="30"/>
      <c r="H23" s="30"/>
      <c r="I23" s="30"/>
      <c r="J23" s="377"/>
      <c r="K23" s="274"/>
    </row>
    <row r="24" spans="1:11" customFormat="1" x14ac:dyDescent="0.2">
      <c r="A24" s="99"/>
      <c r="B24" s="100"/>
      <c r="C24" s="101"/>
      <c r="D24" s="102"/>
      <c r="E24" s="31"/>
      <c r="F24" s="31"/>
      <c r="G24" s="31"/>
      <c r="H24" s="31"/>
      <c r="I24" s="31"/>
      <c r="J24" s="31"/>
      <c r="K24" s="248"/>
    </row>
    <row r="25" spans="1:11" s="6" customFormat="1" ht="15.75" x14ac:dyDescent="0.25">
      <c r="A25" s="88"/>
      <c r="B25" s="89"/>
      <c r="C25" s="90" t="s">
        <v>239</v>
      </c>
      <c r="D25" s="91" t="s">
        <v>240</v>
      </c>
      <c r="E25" s="32">
        <f>E28+E77</f>
        <v>930884542</v>
      </c>
      <c r="F25" s="32">
        <f>F28+F77</f>
        <v>146142818</v>
      </c>
      <c r="G25" s="32">
        <f>G28+G77</f>
        <v>360429624</v>
      </c>
      <c r="H25" s="32">
        <f>H28+H77</f>
        <v>191786431</v>
      </c>
      <c r="I25" s="32">
        <f>I28+I77</f>
        <v>61369472</v>
      </c>
      <c r="J25" s="32">
        <f>E25+F25+G25+H25-I25</f>
        <v>1567873943</v>
      </c>
      <c r="K25" s="245">
        <f>J25/J$142*100</f>
        <v>43.649051865256119</v>
      </c>
    </row>
    <row r="26" spans="1:11" s="6" customFormat="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252"/>
    </row>
    <row r="27" spans="1:11" customFormat="1" x14ac:dyDescent="0.2">
      <c r="A27" s="99"/>
      <c r="B27" s="100"/>
      <c r="C27" s="101"/>
      <c r="D27" s="102"/>
      <c r="E27" s="31"/>
      <c r="F27" s="31"/>
      <c r="G27" s="31"/>
      <c r="H27" s="31"/>
      <c r="I27" s="31"/>
      <c r="J27" s="31"/>
      <c r="K27" s="248"/>
    </row>
    <row r="28" spans="1:11" s="6" customFormat="1" ht="15.75" x14ac:dyDescent="0.25">
      <c r="A28" s="88">
        <v>70</v>
      </c>
      <c r="B28" s="89"/>
      <c r="C28" s="90" t="s">
        <v>242</v>
      </c>
      <c r="D28" s="91" t="s">
        <v>243</v>
      </c>
      <c r="E28" s="32">
        <f>E31+E36+E42+E46+E53+E65+E74</f>
        <v>876656500</v>
      </c>
      <c r="F28" s="32">
        <f>F31+F36+F42+F46+F53+F65+F74</f>
        <v>117579669</v>
      </c>
      <c r="G28" s="32">
        <f>G31+G36+G42+G46+G53+G65+G74</f>
        <v>355528650</v>
      </c>
      <c r="H28" s="32">
        <f>H31+H36+H42+H46+H53+H65+H74</f>
        <v>188397657</v>
      </c>
      <c r="I28" s="32">
        <f>I31+I36+I42+I46+I53+I65+I74</f>
        <v>58618244</v>
      </c>
      <c r="J28" s="32">
        <f>E28+F28+G28+H28-I28</f>
        <v>1479544232</v>
      </c>
      <c r="K28" s="245">
        <f>J28/J$142*100</f>
        <v>41.189984187082409</v>
      </c>
    </row>
    <row r="29" spans="1:11" s="6" customFormat="1" ht="15.75" x14ac:dyDescent="0.25">
      <c r="A29" s="88"/>
      <c r="B29" s="89"/>
      <c r="C29" s="90" t="s">
        <v>244</v>
      </c>
      <c r="D29" s="91" t="s">
        <v>244</v>
      </c>
      <c r="E29" s="32"/>
      <c r="F29" s="32"/>
      <c r="G29" s="32"/>
      <c r="H29" s="32"/>
      <c r="I29" s="32"/>
      <c r="J29" s="32"/>
      <c r="K29" s="252"/>
    </row>
    <row r="30" spans="1:11" customFormat="1" x14ac:dyDescent="0.2">
      <c r="A30" s="99"/>
      <c r="B30" s="100"/>
      <c r="C30" s="101"/>
      <c r="D30" s="102"/>
      <c r="E30" s="31"/>
      <c r="F30" s="31"/>
      <c r="G30" s="31"/>
      <c r="H30" s="31"/>
      <c r="I30" s="31"/>
      <c r="J30" s="31"/>
      <c r="K30" s="248"/>
    </row>
    <row r="31" spans="1:11" s="5" customFormat="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0">E32+E33+E34</f>
        <v>200779000</v>
      </c>
      <c r="F31" s="31">
        <f t="shared" si="0"/>
        <v>82017654</v>
      </c>
      <c r="G31" s="31">
        <f t="shared" si="0"/>
        <v>0</v>
      </c>
      <c r="H31" s="31">
        <f t="shared" si="0"/>
        <v>0</v>
      </c>
      <c r="I31" s="31">
        <v>0</v>
      </c>
      <c r="J31" s="31">
        <f t="shared" si="0"/>
        <v>282796654</v>
      </c>
      <c r="K31" s="247">
        <f>J31/J$142*100</f>
        <v>7.8729580734966591</v>
      </c>
    </row>
    <row r="32" spans="1:11" s="5" customFormat="1" x14ac:dyDescent="0.2">
      <c r="A32" s="99">
        <v>7000</v>
      </c>
      <c r="B32" s="100"/>
      <c r="C32" s="101" t="s">
        <v>247</v>
      </c>
      <c r="D32" s="102" t="s">
        <v>248</v>
      </c>
      <c r="E32" s="31">
        <v>157606000</v>
      </c>
      <c r="F32" s="31">
        <v>82017654</v>
      </c>
      <c r="G32" s="31">
        <v>0</v>
      </c>
      <c r="H32" s="31">
        <v>0</v>
      </c>
      <c r="I32" s="31">
        <v>0</v>
      </c>
      <c r="J32" s="31">
        <f>E32+F32+G32+H32</f>
        <v>239623654</v>
      </c>
      <c r="K32" s="247">
        <f>J32/J$142*100</f>
        <v>6.6710371380846327</v>
      </c>
    </row>
    <row r="33" spans="1:11" s="5" customFormat="1" x14ac:dyDescent="0.2">
      <c r="A33" s="99">
        <v>7001</v>
      </c>
      <c r="B33" s="100"/>
      <c r="C33" s="101" t="s">
        <v>249</v>
      </c>
      <c r="D33" s="102" t="s">
        <v>250</v>
      </c>
      <c r="E33" s="31">
        <v>43173000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43173000</v>
      </c>
      <c r="K33" s="247">
        <f>J33/J$142*100</f>
        <v>1.2019209354120268</v>
      </c>
    </row>
    <row r="34" spans="1:11" s="5" customFormat="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248"/>
    </row>
    <row r="35" spans="1:11" customFormat="1" x14ac:dyDescent="0.2">
      <c r="A35" s="99"/>
      <c r="B35" s="100"/>
      <c r="C35" s="101"/>
      <c r="D35" s="102"/>
      <c r="E35" s="31"/>
      <c r="F35" s="31"/>
      <c r="G35" s="31"/>
      <c r="H35" s="31"/>
      <c r="I35" s="31"/>
      <c r="J35" s="31"/>
      <c r="K35" s="248"/>
    </row>
    <row r="36" spans="1:11" s="5" customFormat="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1">SUM(E37:E40)</f>
        <v>5709700</v>
      </c>
      <c r="F36" s="31">
        <f t="shared" si="1"/>
        <v>0</v>
      </c>
      <c r="G36" s="31">
        <f t="shared" si="1"/>
        <v>355408650</v>
      </c>
      <c r="H36" s="31">
        <f t="shared" si="1"/>
        <v>188397657</v>
      </c>
      <c r="I36" s="31">
        <f t="shared" si="1"/>
        <v>58618244</v>
      </c>
      <c r="J36" s="31">
        <f t="shared" si="1"/>
        <v>490897763</v>
      </c>
      <c r="K36" s="247">
        <f>J36/J$142*100</f>
        <v>13.666418791759465</v>
      </c>
    </row>
    <row r="37" spans="1:11" s="5" customFormat="1" x14ac:dyDescent="0.2">
      <c r="A37" s="99">
        <v>7010</v>
      </c>
      <c r="B37" s="100"/>
      <c r="C37" s="101" t="s">
        <v>255</v>
      </c>
      <c r="D37" s="102" t="s">
        <v>256</v>
      </c>
      <c r="E37" s="31">
        <v>3330320</v>
      </c>
      <c r="F37" s="31">
        <v>0</v>
      </c>
      <c r="G37" s="31">
        <v>210168496</v>
      </c>
      <c r="H37" s="31">
        <v>90242116</v>
      </c>
      <c r="I37" s="31">
        <v>0</v>
      </c>
      <c r="J37" s="31">
        <f>E37+F37+G37+H37</f>
        <v>303740932</v>
      </c>
      <c r="K37" s="247">
        <f>J37/J$142*100</f>
        <v>8.4560393095768376</v>
      </c>
    </row>
    <row r="38" spans="1:11" s="5" customFormat="1" x14ac:dyDescent="0.2">
      <c r="A38" s="210">
        <v>7011</v>
      </c>
      <c r="B38" s="319"/>
      <c r="C38" s="357" t="s">
        <v>257</v>
      </c>
      <c r="D38" s="349" t="s">
        <v>258</v>
      </c>
      <c r="E38" s="33">
        <v>2001420</v>
      </c>
      <c r="F38" s="33">
        <v>0</v>
      </c>
      <c r="G38" s="33">
        <v>124530890</v>
      </c>
      <c r="H38" s="33">
        <v>86804520</v>
      </c>
      <c r="I38" s="33">
        <f>E160+F160+G160+H160+E229+F229+G229+H229</f>
        <v>58618244</v>
      </c>
      <c r="J38" s="33">
        <f>E38+F38+G38+H38-I38</f>
        <v>154718586</v>
      </c>
      <c r="K38" s="261">
        <f>J38/J$142*100</f>
        <v>4.3073103006681519</v>
      </c>
    </row>
    <row r="39" spans="1:11" s="5" customFormat="1" x14ac:dyDescent="0.2">
      <c r="A39" s="99">
        <v>7012</v>
      </c>
      <c r="B39" s="100"/>
      <c r="C39" s="101" t="s">
        <v>259</v>
      </c>
      <c r="D39" s="102" t="s">
        <v>260</v>
      </c>
      <c r="E39" s="31">
        <v>322265</v>
      </c>
      <c r="F39" s="31">
        <v>0</v>
      </c>
      <c r="G39" s="31">
        <v>17909250</v>
      </c>
      <c r="H39" s="31">
        <v>10234774</v>
      </c>
      <c r="I39" s="31">
        <v>0</v>
      </c>
      <c r="J39" s="31">
        <f>E39+F39+G39+H39</f>
        <v>28466289</v>
      </c>
      <c r="K39" s="247">
        <f>J39/J$142*100</f>
        <v>0.79249134187082404</v>
      </c>
    </row>
    <row r="40" spans="1:11" s="5" customFormat="1" x14ac:dyDescent="0.2">
      <c r="A40" s="99">
        <v>7013</v>
      </c>
      <c r="B40" s="100"/>
      <c r="C40" s="101" t="s">
        <v>261</v>
      </c>
      <c r="D40" s="102" t="s">
        <v>262</v>
      </c>
      <c r="E40" s="31">
        <v>55695</v>
      </c>
      <c r="F40" s="31">
        <v>0</v>
      </c>
      <c r="G40" s="31">
        <v>2800014</v>
      </c>
      <c r="H40" s="31">
        <v>1116247</v>
      </c>
      <c r="I40" s="31">
        <v>0</v>
      </c>
      <c r="J40" s="31">
        <f>E40+F40+G40+H40</f>
        <v>3971956</v>
      </c>
      <c r="K40" s="247">
        <f>J40/J$142*100</f>
        <v>0.11057783964365257</v>
      </c>
    </row>
    <row r="41" spans="1:11" customFormat="1" x14ac:dyDescent="0.2">
      <c r="A41" s="99"/>
      <c r="B41" s="100"/>
      <c r="C41" s="101"/>
      <c r="D41" s="102"/>
      <c r="E41" s="31"/>
      <c r="F41" s="31"/>
      <c r="G41" s="31"/>
      <c r="H41" s="31"/>
      <c r="I41" s="31"/>
      <c r="J41" s="31"/>
      <c r="K41" s="248"/>
    </row>
    <row r="42" spans="1:11" s="5" customFormat="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2">E43+E44</f>
        <v>49231200</v>
      </c>
      <c r="F42" s="31">
        <f t="shared" si="2"/>
        <v>0</v>
      </c>
      <c r="G42" s="31">
        <f t="shared" si="2"/>
        <v>0</v>
      </c>
      <c r="H42" s="31">
        <f t="shared" si="2"/>
        <v>0</v>
      </c>
      <c r="I42" s="31">
        <f t="shared" si="2"/>
        <v>0</v>
      </c>
      <c r="J42" s="31">
        <f t="shared" si="2"/>
        <v>49231200</v>
      </c>
      <c r="K42" s="247">
        <f>J42/J$142*100</f>
        <v>1.3705790645879732</v>
      </c>
    </row>
    <row r="43" spans="1:11" s="5" customFormat="1" x14ac:dyDescent="0.2">
      <c r="A43" s="99">
        <v>7020</v>
      </c>
      <c r="B43" s="100"/>
      <c r="C43" s="101" t="s">
        <v>265</v>
      </c>
      <c r="D43" s="102" t="s">
        <v>266</v>
      </c>
      <c r="E43" s="31">
        <v>44900000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44900000</v>
      </c>
      <c r="K43" s="247">
        <f>J43/J$142*100</f>
        <v>1.25</v>
      </c>
    </row>
    <row r="44" spans="1:11" s="5" customFormat="1" x14ac:dyDescent="0.2">
      <c r="A44" s="99">
        <v>7021</v>
      </c>
      <c r="B44" s="100"/>
      <c r="C44" s="101" t="s">
        <v>267</v>
      </c>
      <c r="D44" s="102" t="s">
        <v>268</v>
      </c>
      <c r="E44" s="31">
        <v>4331200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4331200</v>
      </c>
      <c r="K44" s="247">
        <f>J44/J$142*100</f>
        <v>0.12057906458797327</v>
      </c>
    </row>
    <row r="45" spans="1:11" customFormat="1" x14ac:dyDescent="0.2">
      <c r="A45" s="99"/>
      <c r="B45" s="100"/>
      <c r="C45" s="101"/>
      <c r="D45" s="102"/>
      <c r="E45" s="31"/>
      <c r="F45" s="31"/>
      <c r="G45" s="31"/>
      <c r="H45" s="31"/>
      <c r="I45" s="31"/>
      <c r="J45" s="31"/>
      <c r="K45" s="248"/>
    </row>
    <row r="46" spans="1:11" s="5" customFormat="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3">SUM(E47:E50)</f>
        <v>5955000</v>
      </c>
      <c r="F46" s="31">
        <f t="shared" si="3"/>
        <v>25476565</v>
      </c>
      <c r="G46" s="31">
        <f t="shared" si="3"/>
        <v>0</v>
      </c>
      <c r="H46" s="31">
        <f t="shared" si="3"/>
        <v>0</v>
      </c>
      <c r="I46" s="31">
        <f t="shared" si="3"/>
        <v>0</v>
      </c>
      <c r="J46" s="31">
        <f t="shared" si="3"/>
        <v>31431565</v>
      </c>
      <c r="K46" s="247">
        <f>J46/J$142*100</f>
        <v>0.87504356904231617</v>
      </c>
    </row>
    <row r="47" spans="1:11" s="5" customFormat="1" x14ac:dyDescent="0.2">
      <c r="A47" s="99">
        <v>7030</v>
      </c>
      <c r="B47" s="100"/>
      <c r="C47" s="101" t="s">
        <v>271</v>
      </c>
      <c r="D47" s="102" t="s">
        <v>272</v>
      </c>
      <c r="E47" s="31">
        <v>0</v>
      </c>
      <c r="F47" s="31">
        <v>19492987</v>
      </c>
      <c r="G47" s="31">
        <v>0</v>
      </c>
      <c r="H47" s="31">
        <v>0</v>
      </c>
      <c r="I47" s="31">
        <v>0</v>
      </c>
      <c r="J47" s="31">
        <f>E47+F47+G47+H47</f>
        <v>19492987</v>
      </c>
      <c r="K47" s="247">
        <f>J47/J$142*100</f>
        <v>0.54267781180400887</v>
      </c>
    </row>
    <row r="48" spans="1:11" s="5" customFormat="1" x14ac:dyDescent="0.2">
      <c r="A48" s="99">
        <v>7031</v>
      </c>
      <c r="B48" s="100"/>
      <c r="C48" s="101" t="s">
        <v>273</v>
      </c>
      <c r="D48" s="102" t="s">
        <v>274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f>E48+F48+G48+H48</f>
        <v>0</v>
      </c>
      <c r="K48" s="247">
        <f>J48/J$142*100</f>
        <v>0</v>
      </c>
    </row>
    <row r="49" spans="1:11" s="5" customFormat="1" x14ac:dyDescent="0.2">
      <c r="A49" s="99">
        <v>7032</v>
      </c>
      <c r="B49" s="100"/>
      <c r="C49" s="101" t="s">
        <v>275</v>
      </c>
      <c r="D49" s="102" t="s">
        <v>276</v>
      </c>
      <c r="E49" s="31">
        <v>0</v>
      </c>
      <c r="F49" s="31">
        <v>354841</v>
      </c>
      <c r="G49" s="31">
        <v>0</v>
      </c>
      <c r="H49" s="31">
        <v>0</v>
      </c>
      <c r="I49" s="31">
        <v>0</v>
      </c>
      <c r="J49" s="31">
        <f>E49+F49+G49+H49</f>
        <v>354841</v>
      </c>
      <c r="K49" s="247">
        <f>J49/J$142*100</f>
        <v>9.8786469933184861E-3</v>
      </c>
    </row>
    <row r="50" spans="1:11" s="5" customFormat="1" x14ac:dyDescent="0.2">
      <c r="A50" s="99">
        <v>7033</v>
      </c>
      <c r="B50" s="100"/>
      <c r="C50" s="101" t="s">
        <v>277</v>
      </c>
      <c r="D50" s="102" t="s">
        <v>278</v>
      </c>
      <c r="E50" s="31">
        <v>5955000</v>
      </c>
      <c r="F50" s="31">
        <v>5628737</v>
      </c>
      <c r="G50" s="31">
        <v>0</v>
      </c>
      <c r="H50" s="31">
        <v>0</v>
      </c>
      <c r="I50" s="31">
        <v>0</v>
      </c>
      <c r="J50" s="31">
        <f>E50+F50+G50+H50</f>
        <v>11583737</v>
      </c>
      <c r="K50" s="247">
        <f>J50/J$142*100</f>
        <v>0.32248711024498888</v>
      </c>
    </row>
    <row r="51" spans="1:11" customFormat="1" x14ac:dyDescent="0.2">
      <c r="A51" s="99"/>
      <c r="B51" s="100"/>
      <c r="C51" s="101"/>
      <c r="D51" s="102"/>
      <c r="E51" s="31"/>
      <c r="F51" s="31"/>
      <c r="G51" s="31"/>
      <c r="H51" s="31"/>
      <c r="I51" s="31"/>
      <c r="J51" s="31"/>
      <c r="K51" s="248"/>
    </row>
    <row r="52" spans="1:11" customFormat="1" x14ac:dyDescent="0.2">
      <c r="A52" s="99"/>
      <c r="B52" s="100"/>
      <c r="C52" s="101"/>
      <c r="D52" s="102"/>
      <c r="E52" s="31"/>
      <c r="F52" s="31"/>
      <c r="G52" s="31"/>
      <c r="H52" s="31"/>
      <c r="I52" s="31"/>
      <c r="J52" s="31"/>
      <c r="K52" s="248"/>
    </row>
    <row r="53" spans="1:11" s="5" customFormat="1" x14ac:dyDescent="0.2">
      <c r="A53" s="99">
        <v>704</v>
      </c>
      <c r="B53" s="100"/>
      <c r="C53" s="101" t="s">
        <v>279</v>
      </c>
      <c r="D53" s="102" t="s">
        <v>280</v>
      </c>
      <c r="E53" s="31">
        <f t="shared" ref="E53:J53" si="4">SUM(E54:E62)</f>
        <v>570873000</v>
      </c>
      <c r="F53" s="31">
        <f t="shared" si="4"/>
        <v>9729655</v>
      </c>
      <c r="G53" s="31">
        <f t="shared" si="4"/>
        <v>0</v>
      </c>
      <c r="H53" s="31">
        <f t="shared" si="4"/>
        <v>0</v>
      </c>
      <c r="I53" s="31">
        <f t="shared" si="4"/>
        <v>0</v>
      </c>
      <c r="J53" s="31">
        <f t="shared" si="4"/>
        <v>580602655</v>
      </c>
      <c r="K53" s="247">
        <f t="shared" ref="K53:K58" si="5">J53/J$142*100</f>
        <v>16.163771018930959</v>
      </c>
    </row>
    <row r="54" spans="1:11" s="5" customFormat="1" x14ac:dyDescent="0.2">
      <c r="A54" s="99">
        <v>7040</v>
      </c>
      <c r="B54" s="100"/>
      <c r="C54" s="101" t="s">
        <v>281</v>
      </c>
      <c r="D54" s="102" t="s">
        <v>452</v>
      </c>
      <c r="E54" s="31">
        <v>483685000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483685000</v>
      </c>
      <c r="K54" s="247">
        <f t="shared" si="5"/>
        <v>13.465618040089087</v>
      </c>
    </row>
    <row r="55" spans="1:11" s="5" customFormat="1" x14ac:dyDescent="0.2">
      <c r="A55" s="99">
        <v>7041</v>
      </c>
      <c r="B55" s="100"/>
      <c r="C55" s="101" t="s">
        <v>453</v>
      </c>
      <c r="D55" s="102" t="s">
        <v>454</v>
      </c>
      <c r="E55" s="31">
        <v>20383000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20383000</v>
      </c>
      <c r="K55" s="247">
        <f t="shared" si="5"/>
        <v>0.56745545657015595</v>
      </c>
    </row>
    <row r="56" spans="1:11" s="5" customFormat="1" x14ac:dyDescent="0.2">
      <c r="A56" s="99">
        <v>7042</v>
      </c>
      <c r="B56" s="100"/>
      <c r="C56" s="101" t="s">
        <v>455</v>
      </c>
      <c r="D56" s="102" t="s">
        <v>456</v>
      </c>
      <c r="E56" s="31">
        <v>35000000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35000000</v>
      </c>
      <c r="K56" s="247">
        <f t="shared" si="5"/>
        <v>0.97438752783964366</v>
      </c>
    </row>
    <row r="57" spans="1:11" s="5" customFormat="1" x14ac:dyDescent="0.2">
      <c r="A57" s="99">
        <v>7043</v>
      </c>
      <c r="B57" s="100"/>
      <c r="C57" s="101" t="s">
        <v>457</v>
      </c>
      <c r="D57" s="102" t="s">
        <v>458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f>E57+F57+G57+H57</f>
        <v>0</v>
      </c>
      <c r="K57" s="247">
        <f t="shared" si="5"/>
        <v>0</v>
      </c>
    </row>
    <row r="58" spans="1:11" s="5" customFormat="1" x14ac:dyDescent="0.2">
      <c r="A58" s="99">
        <v>7044</v>
      </c>
      <c r="B58" s="100"/>
      <c r="C58" s="101" t="s">
        <v>459</v>
      </c>
      <c r="D58" s="102" t="s">
        <v>460</v>
      </c>
      <c r="E58" s="31">
        <v>14325000</v>
      </c>
      <c r="F58" s="31">
        <v>1755732</v>
      </c>
      <c r="G58" s="31">
        <v>0</v>
      </c>
      <c r="H58" s="31">
        <v>0</v>
      </c>
      <c r="I58" s="31">
        <v>0</v>
      </c>
      <c r="J58" s="31">
        <f>E58+F58+G58+H58</f>
        <v>16080732</v>
      </c>
      <c r="K58" s="247">
        <f t="shared" si="5"/>
        <v>0.4476818485523385</v>
      </c>
    </row>
    <row r="59" spans="1:11" customFormat="1" x14ac:dyDescent="0.2">
      <c r="A59" s="99"/>
      <c r="B59" s="100"/>
      <c r="C59" s="101" t="s">
        <v>461</v>
      </c>
      <c r="D59" s="102" t="s">
        <v>462</v>
      </c>
      <c r="E59" s="31"/>
      <c r="F59" s="31"/>
      <c r="G59" s="31"/>
      <c r="H59" s="31"/>
      <c r="I59" s="31"/>
      <c r="J59" s="31"/>
      <c r="K59" s="248"/>
    </row>
    <row r="60" spans="1:11" s="5" customFormat="1" x14ac:dyDescent="0.2">
      <c r="A60" s="99">
        <v>7045</v>
      </c>
      <c r="B60" s="100"/>
      <c r="C60" s="101" t="s">
        <v>463</v>
      </c>
      <c r="D60" s="102" t="s">
        <v>464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f>E60+F60+G60+H60</f>
        <v>0</v>
      </c>
      <c r="K60" s="247">
        <f>J60/J$142*100</f>
        <v>0</v>
      </c>
    </row>
    <row r="61" spans="1:11" s="5" customFormat="1" x14ac:dyDescent="0.2">
      <c r="A61" s="99">
        <v>7046</v>
      </c>
      <c r="B61" s="100"/>
      <c r="C61" s="101" t="s">
        <v>465</v>
      </c>
      <c r="D61" s="102" t="s">
        <v>466</v>
      </c>
      <c r="E61" s="31">
        <v>13740000</v>
      </c>
      <c r="F61" s="31">
        <v>0</v>
      </c>
      <c r="G61" s="31">
        <v>0</v>
      </c>
      <c r="H61" s="31">
        <v>0</v>
      </c>
      <c r="I61" s="31">
        <v>0</v>
      </c>
      <c r="J61" s="31">
        <f>E61+F61+G61+H61</f>
        <v>13740000</v>
      </c>
      <c r="K61" s="247">
        <f>J61/J$142*100</f>
        <v>0.38251670378619151</v>
      </c>
    </row>
    <row r="62" spans="1:11" s="5" customFormat="1" x14ac:dyDescent="0.2">
      <c r="A62" s="99">
        <v>7047</v>
      </c>
      <c r="B62" s="100"/>
      <c r="C62" s="101" t="s">
        <v>467</v>
      </c>
      <c r="D62" s="102" t="s">
        <v>468</v>
      </c>
      <c r="E62" s="31">
        <v>3740000</v>
      </c>
      <c r="F62" s="31">
        <v>7973923</v>
      </c>
      <c r="G62" s="31">
        <v>0</v>
      </c>
      <c r="H62" s="31">
        <v>0</v>
      </c>
      <c r="I62" s="31">
        <v>0</v>
      </c>
      <c r="J62" s="31">
        <f>E62+F62+G62+H62</f>
        <v>11713923</v>
      </c>
      <c r="K62" s="247">
        <f>J62/J$142*100</f>
        <v>0.3261114420935412</v>
      </c>
    </row>
    <row r="63" spans="1:11" customFormat="1" x14ac:dyDescent="0.2">
      <c r="A63" s="99"/>
      <c r="B63" s="100"/>
      <c r="C63" s="101" t="s">
        <v>469</v>
      </c>
      <c r="D63" s="102" t="s">
        <v>462</v>
      </c>
      <c r="E63" s="31"/>
      <c r="F63" s="31"/>
      <c r="G63" s="31"/>
      <c r="H63" s="31"/>
      <c r="I63" s="31"/>
      <c r="J63" s="31"/>
      <c r="K63" s="248"/>
    </row>
    <row r="64" spans="1:11" customFormat="1" x14ac:dyDescent="0.2">
      <c r="A64" s="99"/>
      <c r="B64" s="100"/>
      <c r="C64" s="101"/>
      <c r="D64" s="102" t="s">
        <v>462</v>
      </c>
      <c r="E64" s="31"/>
      <c r="F64" s="31"/>
      <c r="G64" s="31"/>
      <c r="H64" s="31"/>
      <c r="I64" s="31"/>
      <c r="J64" s="31"/>
      <c r="K64" s="248"/>
    </row>
    <row r="65" spans="1:11" s="5" customFormat="1" x14ac:dyDescent="0.2">
      <c r="A65" s="99">
        <v>705</v>
      </c>
      <c r="B65" s="100"/>
      <c r="C65" s="101" t="s">
        <v>470</v>
      </c>
      <c r="D65" s="102" t="s">
        <v>471</v>
      </c>
      <c r="E65" s="31">
        <f t="shared" ref="E65:J65" si="6">SUM(E66:E72)</f>
        <v>44108600</v>
      </c>
      <c r="F65" s="31">
        <f t="shared" si="6"/>
        <v>0</v>
      </c>
      <c r="G65" s="31">
        <f t="shared" si="6"/>
        <v>0</v>
      </c>
      <c r="H65" s="31">
        <f t="shared" si="6"/>
        <v>0</v>
      </c>
      <c r="I65" s="31">
        <f t="shared" si="6"/>
        <v>0</v>
      </c>
      <c r="J65" s="31">
        <f t="shared" si="6"/>
        <v>44108600</v>
      </c>
      <c r="K65" s="247">
        <f t="shared" ref="K65:K72" si="7">J65/J$142*100</f>
        <v>1.2279677060133629</v>
      </c>
    </row>
    <row r="66" spans="1:11" s="5" customFormat="1" x14ac:dyDescent="0.2">
      <c r="A66" s="99">
        <v>7050</v>
      </c>
      <c r="B66" s="100"/>
      <c r="C66" s="101" t="s">
        <v>472</v>
      </c>
      <c r="D66" s="102" t="s">
        <v>473</v>
      </c>
      <c r="E66" s="31">
        <v>42645500</v>
      </c>
      <c r="F66" s="31">
        <v>0</v>
      </c>
      <c r="G66" s="31">
        <v>0</v>
      </c>
      <c r="H66" s="31">
        <v>0</v>
      </c>
      <c r="I66" s="31">
        <v>0</v>
      </c>
      <c r="J66" s="31">
        <f t="shared" ref="J66:J72" si="8">E66+F66+G66+H66</f>
        <v>42645500</v>
      </c>
      <c r="K66" s="247">
        <f t="shared" si="7"/>
        <v>1.1872355233853007</v>
      </c>
    </row>
    <row r="67" spans="1:11" s="5" customFormat="1" x14ac:dyDescent="0.2">
      <c r="A67" s="99">
        <v>7051</v>
      </c>
      <c r="B67" s="100"/>
      <c r="C67" s="101" t="s">
        <v>474</v>
      </c>
      <c r="D67" s="102" t="s">
        <v>475</v>
      </c>
      <c r="E67" s="31">
        <v>1463100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8"/>
        <v>1463100</v>
      </c>
      <c r="K67" s="247">
        <f t="shared" si="7"/>
        <v>4.0732182628062358E-2</v>
      </c>
    </row>
    <row r="68" spans="1:11" s="5" customFormat="1" x14ac:dyDescent="0.2">
      <c r="A68" s="99">
        <v>7052</v>
      </c>
      <c r="B68" s="100"/>
      <c r="C68" s="101" t="s">
        <v>476</v>
      </c>
      <c r="D68" s="102" t="s">
        <v>477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8"/>
        <v>0</v>
      </c>
      <c r="K68" s="247">
        <f t="shared" si="7"/>
        <v>0</v>
      </c>
    </row>
    <row r="69" spans="1:11" s="5" customFormat="1" x14ac:dyDescent="0.2">
      <c r="A69" s="99">
        <v>7053</v>
      </c>
      <c r="B69" s="100"/>
      <c r="C69" s="101" t="s">
        <v>478</v>
      </c>
      <c r="D69" s="102" t="s">
        <v>479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8"/>
        <v>0</v>
      </c>
      <c r="K69" s="247">
        <f t="shared" si="7"/>
        <v>0</v>
      </c>
    </row>
    <row r="70" spans="1:11" s="5" customFormat="1" x14ac:dyDescent="0.2">
      <c r="A70" s="99">
        <v>7054</v>
      </c>
      <c r="B70" s="100"/>
      <c r="C70" s="101" t="s">
        <v>480</v>
      </c>
      <c r="D70" s="102" t="s">
        <v>481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8"/>
        <v>0</v>
      </c>
      <c r="K70" s="247">
        <f t="shared" si="7"/>
        <v>0</v>
      </c>
    </row>
    <row r="71" spans="1:11" s="5" customFormat="1" x14ac:dyDescent="0.2">
      <c r="A71" s="99">
        <v>7055</v>
      </c>
      <c r="B71" s="100"/>
      <c r="C71" s="101" t="s">
        <v>482</v>
      </c>
      <c r="D71" s="102" t="s">
        <v>483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8"/>
        <v>0</v>
      </c>
      <c r="K71" s="247">
        <f t="shared" si="7"/>
        <v>0</v>
      </c>
    </row>
    <row r="72" spans="1:11" s="5" customFormat="1" x14ac:dyDescent="0.2">
      <c r="A72" s="99">
        <v>7056</v>
      </c>
      <c r="B72" s="100"/>
      <c r="C72" s="101" t="s">
        <v>484</v>
      </c>
      <c r="D72" s="102" t="s">
        <v>485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f t="shared" si="8"/>
        <v>0</v>
      </c>
      <c r="K72" s="247">
        <f t="shared" si="7"/>
        <v>0</v>
      </c>
    </row>
    <row r="73" spans="1:11" customFormat="1" x14ac:dyDescent="0.2">
      <c r="A73" s="99"/>
      <c r="B73" s="100"/>
      <c r="C73" s="101"/>
      <c r="D73" s="102" t="s">
        <v>462</v>
      </c>
      <c r="E73" s="31"/>
      <c r="F73" s="31"/>
      <c r="G73" s="31"/>
      <c r="H73" s="31"/>
      <c r="I73" s="31"/>
      <c r="J73" s="31"/>
      <c r="K73" s="248"/>
    </row>
    <row r="74" spans="1:11" s="5" customFormat="1" x14ac:dyDescent="0.2">
      <c r="A74" s="99">
        <v>706</v>
      </c>
      <c r="B74" s="100"/>
      <c r="C74" s="101" t="s">
        <v>486</v>
      </c>
      <c r="D74" s="102" t="s">
        <v>487</v>
      </c>
      <c r="E74" s="31">
        <f>E75</f>
        <v>0</v>
      </c>
      <c r="F74" s="31">
        <f>F75</f>
        <v>355795</v>
      </c>
      <c r="G74" s="31">
        <f>G75</f>
        <v>120000</v>
      </c>
      <c r="H74" s="31">
        <f>H75</f>
        <v>0</v>
      </c>
      <c r="I74" s="31">
        <f>I75</f>
        <v>0</v>
      </c>
      <c r="J74" s="31">
        <f>E74+F74+G74+H74</f>
        <v>475795</v>
      </c>
      <c r="K74" s="247">
        <f>J74/J$142*100</f>
        <v>1.3245963251670378E-2</v>
      </c>
    </row>
    <row r="75" spans="1:11" s="5" customFormat="1" x14ac:dyDescent="0.2">
      <c r="A75" s="99">
        <v>7060</v>
      </c>
      <c r="B75" s="100"/>
      <c r="C75" s="101" t="s">
        <v>488</v>
      </c>
      <c r="D75" s="102" t="s">
        <v>489</v>
      </c>
      <c r="E75" s="31">
        <v>0</v>
      </c>
      <c r="F75" s="31">
        <v>355795</v>
      </c>
      <c r="G75" s="31">
        <v>120000</v>
      </c>
      <c r="H75" s="31">
        <v>0</v>
      </c>
      <c r="I75" s="31">
        <v>0</v>
      </c>
      <c r="J75" s="31">
        <f>E75+F75+G75+H75</f>
        <v>475795</v>
      </c>
      <c r="K75" s="247">
        <f>J75/J$142*100</f>
        <v>1.3245963251670378E-2</v>
      </c>
    </row>
    <row r="76" spans="1:11" customFormat="1" x14ac:dyDescent="0.2">
      <c r="A76" s="99"/>
      <c r="B76" s="100"/>
      <c r="C76" s="101"/>
      <c r="D76" s="102"/>
      <c r="E76" s="31"/>
      <c r="F76" s="31"/>
      <c r="G76" s="31"/>
      <c r="H76" s="31"/>
      <c r="I76" s="31"/>
      <c r="J76" s="31"/>
      <c r="K76" s="248"/>
    </row>
    <row r="77" spans="1:11" s="6" customFormat="1" ht="15.75" x14ac:dyDescent="0.25">
      <c r="A77" s="88">
        <v>71</v>
      </c>
      <c r="B77" s="89"/>
      <c r="C77" s="90" t="s">
        <v>490</v>
      </c>
      <c r="D77" s="91" t="s">
        <v>491</v>
      </c>
      <c r="E77" s="32">
        <f>E80+E87+E91+E94+E98</f>
        <v>54228042</v>
      </c>
      <c r="F77" s="32">
        <f>F80+F87+F91+F94+F98</f>
        <v>28563149</v>
      </c>
      <c r="G77" s="32">
        <f>G80+G87+G91+G94+G98</f>
        <v>4900974</v>
      </c>
      <c r="H77" s="32">
        <f>H80+H87+H91+H94+H98</f>
        <v>3388774</v>
      </c>
      <c r="I77" s="32">
        <f>I80+I87+I91+I94+I98</f>
        <v>2751228</v>
      </c>
      <c r="J77" s="32">
        <f>E77+F77+G77+H77-I77</f>
        <v>88329711</v>
      </c>
      <c r="K77" s="245">
        <f>J77/J$142*100</f>
        <v>2.4590676781737195</v>
      </c>
    </row>
    <row r="78" spans="1:11" customFormat="1" x14ac:dyDescent="0.2">
      <c r="A78" s="99"/>
      <c r="B78" s="100"/>
      <c r="C78" s="101" t="s">
        <v>492</v>
      </c>
      <c r="D78" s="102" t="s">
        <v>492</v>
      </c>
      <c r="E78" s="31"/>
      <c r="F78" s="31"/>
      <c r="G78" s="31"/>
      <c r="H78" s="31"/>
      <c r="I78" s="31"/>
      <c r="J78" s="31"/>
      <c r="K78" s="248"/>
    </row>
    <row r="79" spans="1:11" customFormat="1" x14ac:dyDescent="0.2">
      <c r="A79" s="99" t="s">
        <v>493</v>
      </c>
      <c r="B79" s="100"/>
      <c r="C79" s="101"/>
      <c r="D79" s="102"/>
      <c r="E79" s="31"/>
      <c r="F79" s="31"/>
      <c r="G79" s="31"/>
      <c r="H79" s="31"/>
      <c r="I79" s="31"/>
      <c r="J79" s="31"/>
      <c r="K79" s="248"/>
    </row>
    <row r="80" spans="1:11" s="5" customFormat="1" x14ac:dyDescent="0.2">
      <c r="A80" s="99">
        <v>710</v>
      </c>
      <c r="B80" s="100"/>
      <c r="C80" s="101" t="s">
        <v>494</v>
      </c>
      <c r="D80" s="102" t="s">
        <v>495</v>
      </c>
      <c r="E80" s="31">
        <f>SUM(E81:E84)</f>
        <v>14840000</v>
      </c>
      <c r="F80" s="31">
        <f>SUM(F81:F84)</f>
        <v>6573625</v>
      </c>
      <c r="G80" s="31">
        <f>SUM(G81:G84)</f>
        <v>700000</v>
      </c>
      <c r="H80" s="31">
        <f>SUM(H81:H84)</f>
        <v>1072892</v>
      </c>
      <c r="I80" s="31">
        <f>SUM(I81:I84)</f>
        <v>0</v>
      </c>
      <c r="J80" s="31">
        <f>E80+F80+G80+H80</f>
        <v>23186517</v>
      </c>
      <c r="K80" s="247">
        <f>J80/J$142*100</f>
        <v>0.64550437082405343</v>
      </c>
    </row>
    <row r="81" spans="1:11" s="5" customFormat="1" x14ac:dyDescent="0.2">
      <c r="A81" s="99">
        <v>7100</v>
      </c>
      <c r="B81" s="100"/>
      <c r="C81" s="101" t="s">
        <v>496</v>
      </c>
      <c r="D81" s="102" t="s">
        <v>497</v>
      </c>
      <c r="E81" s="31">
        <v>10000000</v>
      </c>
      <c r="F81" s="31">
        <v>0</v>
      </c>
      <c r="G81" s="31">
        <v>0</v>
      </c>
      <c r="H81" s="31">
        <v>0</v>
      </c>
      <c r="I81" s="31">
        <v>0</v>
      </c>
      <c r="J81" s="31">
        <f>E81+F81+G81+H81</f>
        <v>10000000</v>
      </c>
      <c r="K81" s="247">
        <f>J81/J$142*100</f>
        <v>0.27839643652561247</v>
      </c>
    </row>
    <row r="82" spans="1:11" s="5" customFormat="1" x14ac:dyDescent="0.2">
      <c r="A82" s="99">
        <v>7101</v>
      </c>
      <c r="B82" s="100"/>
      <c r="C82" s="101" t="s">
        <v>498</v>
      </c>
      <c r="D82" s="102" t="s">
        <v>499</v>
      </c>
      <c r="E82" s="31">
        <v>0</v>
      </c>
      <c r="F82" s="31">
        <v>300000</v>
      </c>
      <c r="G82" s="31">
        <v>0</v>
      </c>
      <c r="H82" s="31">
        <v>0</v>
      </c>
      <c r="I82" s="31">
        <v>0</v>
      </c>
      <c r="J82" s="31">
        <f>E82+F82+G82+H82</f>
        <v>300000</v>
      </c>
      <c r="K82" s="247">
        <f>J82/J$142*100</f>
        <v>8.3518930957683733E-3</v>
      </c>
    </row>
    <row r="83" spans="1:11" s="5" customFormat="1" x14ac:dyDescent="0.2">
      <c r="A83" s="99">
        <v>7102</v>
      </c>
      <c r="B83" s="100"/>
      <c r="C83" s="101" t="s">
        <v>500</v>
      </c>
      <c r="D83" s="102" t="s">
        <v>501</v>
      </c>
      <c r="E83" s="31">
        <v>2840000</v>
      </c>
      <c r="F83" s="31">
        <v>1100000</v>
      </c>
      <c r="G83" s="31">
        <v>700000</v>
      </c>
      <c r="H83" s="31">
        <v>1000361</v>
      </c>
      <c r="I83" s="31">
        <v>0</v>
      </c>
      <c r="J83" s="31">
        <f>E83+F83+G83+H83</f>
        <v>5640361</v>
      </c>
      <c r="K83" s="247">
        <f>J83/J$142*100</f>
        <v>0.15702564031180402</v>
      </c>
    </row>
    <row r="84" spans="1:11" s="5" customFormat="1" x14ac:dyDescent="0.2">
      <c r="A84" s="99">
        <v>7103</v>
      </c>
      <c r="B84" s="100"/>
      <c r="C84" s="101" t="s">
        <v>502</v>
      </c>
      <c r="D84" s="102" t="s">
        <v>503</v>
      </c>
      <c r="E84" s="31">
        <v>2000000</v>
      </c>
      <c r="F84" s="31">
        <v>5173625</v>
      </c>
      <c r="G84" s="31">
        <v>0</v>
      </c>
      <c r="H84" s="31">
        <v>72531</v>
      </c>
      <c r="I84" s="31">
        <v>0</v>
      </c>
      <c r="J84" s="31">
        <f>E84+F84+G84+H84</f>
        <v>7246156</v>
      </c>
      <c r="K84" s="247">
        <f>J84/J$142*100</f>
        <v>0.20173040089086861</v>
      </c>
    </row>
    <row r="85" spans="1:11" customFormat="1" x14ac:dyDescent="0.2">
      <c r="A85" s="99"/>
      <c r="B85" s="100"/>
      <c r="C85" s="101" t="s">
        <v>504</v>
      </c>
      <c r="D85" s="102" t="s">
        <v>462</v>
      </c>
      <c r="E85" s="31"/>
      <c r="F85" s="31"/>
      <c r="G85" s="31"/>
      <c r="H85" s="31"/>
      <c r="I85" s="31"/>
      <c r="J85" s="31"/>
      <c r="K85" s="248"/>
    </row>
    <row r="86" spans="1:11" customFormat="1" x14ac:dyDescent="0.2">
      <c r="A86" s="99"/>
      <c r="B86" s="100"/>
      <c r="C86" s="101"/>
      <c r="D86" s="102"/>
      <c r="E86" s="31"/>
      <c r="F86" s="31"/>
      <c r="G86" s="31"/>
      <c r="H86" s="31"/>
      <c r="I86" s="31"/>
      <c r="J86" s="31"/>
      <c r="K86" s="248"/>
    </row>
    <row r="87" spans="1:11" s="5" customFormat="1" x14ac:dyDescent="0.2">
      <c r="A87" s="99">
        <v>711</v>
      </c>
      <c r="B87" s="100"/>
      <c r="C87" s="101" t="s">
        <v>505</v>
      </c>
      <c r="D87" s="102" t="s">
        <v>506</v>
      </c>
      <c r="E87" s="31">
        <f>E88+E89</f>
        <v>16374500</v>
      </c>
      <c r="F87" s="31">
        <f>F88+F89</f>
        <v>285613</v>
      </c>
      <c r="G87" s="31">
        <f>G88+G89</f>
        <v>0</v>
      </c>
      <c r="H87" s="31">
        <f>H88+H89</f>
        <v>0</v>
      </c>
      <c r="I87" s="31">
        <f>I88+I89</f>
        <v>0</v>
      </c>
      <c r="J87" s="31">
        <f>E87+F87+G87+H87</f>
        <v>16660113</v>
      </c>
      <c r="K87" s="247">
        <f>J87/J$142*100</f>
        <v>0.46381160913140312</v>
      </c>
    </row>
    <row r="88" spans="1:11" s="5" customFormat="1" x14ac:dyDescent="0.2">
      <c r="A88" s="99">
        <v>7110</v>
      </c>
      <c r="B88" s="100"/>
      <c r="C88" s="101" t="s">
        <v>507</v>
      </c>
      <c r="D88" s="102" t="s">
        <v>508</v>
      </c>
      <c r="E88" s="31">
        <v>7765000</v>
      </c>
      <c r="F88" s="31">
        <v>0</v>
      </c>
      <c r="G88" s="31">
        <v>0</v>
      </c>
      <c r="H88" s="31">
        <v>0</v>
      </c>
      <c r="I88" s="31">
        <v>0</v>
      </c>
      <c r="J88" s="31">
        <f>E88+F88+G88+H88</f>
        <v>7765000</v>
      </c>
      <c r="K88" s="247">
        <f>J88/J$142*100</f>
        <v>0.21617483296213807</v>
      </c>
    </row>
    <row r="89" spans="1:11" s="5" customFormat="1" x14ac:dyDescent="0.2">
      <c r="A89" s="99">
        <v>7111</v>
      </c>
      <c r="B89" s="100"/>
      <c r="C89" s="101" t="s">
        <v>509</v>
      </c>
      <c r="D89" s="102" t="s">
        <v>510</v>
      </c>
      <c r="E89" s="31">
        <v>8609500</v>
      </c>
      <c r="F89" s="31">
        <v>285613</v>
      </c>
      <c r="G89" s="31">
        <v>0</v>
      </c>
      <c r="H89" s="31">
        <v>0</v>
      </c>
      <c r="I89" s="31">
        <v>0</v>
      </c>
      <c r="J89" s="31">
        <f>E89+F89+G89+H89</f>
        <v>8895113</v>
      </c>
      <c r="K89" s="247">
        <f>J89/J$142*100</f>
        <v>0.24763677616926505</v>
      </c>
    </row>
    <row r="90" spans="1:11" customFormat="1" x14ac:dyDescent="0.2">
      <c r="A90" s="99"/>
      <c r="B90" s="100"/>
      <c r="C90" s="101"/>
      <c r="D90" s="102"/>
      <c r="E90" s="31"/>
      <c r="F90" s="31"/>
      <c r="G90" s="31"/>
      <c r="H90" s="31"/>
      <c r="I90" s="31"/>
      <c r="J90" s="31"/>
      <c r="K90" s="248"/>
    </row>
    <row r="91" spans="1:11" s="5" customFormat="1" x14ac:dyDescent="0.2">
      <c r="A91" s="99">
        <v>712</v>
      </c>
      <c r="B91" s="100"/>
      <c r="C91" s="101" t="s">
        <v>511</v>
      </c>
      <c r="D91" s="102" t="s">
        <v>512</v>
      </c>
      <c r="E91" s="31">
        <f>E92</f>
        <v>7554000</v>
      </c>
      <c r="F91" s="31">
        <f>F92</f>
        <v>301371</v>
      </c>
      <c r="G91" s="31">
        <f>G92</f>
        <v>0</v>
      </c>
      <c r="H91" s="31">
        <f>H92</f>
        <v>0</v>
      </c>
      <c r="I91" s="31">
        <f>I92</f>
        <v>0</v>
      </c>
      <c r="J91" s="31">
        <f>E91+F91+G91+H91</f>
        <v>7855371</v>
      </c>
      <c r="K91" s="247">
        <f>J91/J$142*100</f>
        <v>0.21869072939866369</v>
      </c>
    </row>
    <row r="92" spans="1:11" s="5" customFormat="1" x14ac:dyDescent="0.2">
      <c r="A92" s="99">
        <v>7120</v>
      </c>
      <c r="B92" s="100"/>
      <c r="C92" s="101" t="s">
        <v>513</v>
      </c>
      <c r="D92" s="102" t="s">
        <v>514</v>
      </c>
      <c r="E92" s="31">
        <v>7554000</v>
      </c>
      <c r="F92" s="31">
        <v>301371</v>
      </c>
      <c r="G92" s="31">
        <v>0</v>
      </c>
      <c r="H92" s="31">
        <v>0</v>
      </c>
      <c r="I92" s="31">
        <v>0</v>
      </c>
      <c r="J92" s="31">
        <f>E92+F92+G92+H92</f>
        <v>7855371</v>
      </c>
      <c r="K92" s="247">
        <f>J92/J$142*100</f>
        <v>0.21869072939866369</v>
      </c>
    </row>
    <row r="93" spans="1:11" customFormat="1" x14ac:dyDescent="0.2">
      <c r="A93" s="99"/>
      <c r="B93" s="100"/>
      <c r="C93" s="101"/>
      <c r="D93" s="102"/>
      <c r="E93" s="31"/>
      <c r="F93" s="31"/>
      <c r="G93" s="31"/>
      <c r="H93" s="31"/>
      <c r="I93" s="31"/>
      <c r="J93" s="31"/>
      <c r="K93" s="248"/>
    </row>
    <row r="94" spans="1:11" s="5" customFormat="1" x14ac:dyDescent="0.2">
      <c r="A94" s="99">
        <v>713</v>
      </c>
      <c r="B94" s="100"/>
      <c r="C94" s="101" t="s">
        <v>515</v>
      </c>
      <c r="D94" s="102" t="s">
        <v>516</v>
      </c>
      <c r="E94" s="31">
        <f t="shared" ref="E94:J94" si="9">E95</f>
        <v>7375000</v>
      </c>
      <c r="F94" s="31">
        <f t="shared" si="9"/>
        <v>3837194</v>
      </c>
      <c r="G94" s="31">
        <f t="shared" si="9"/>
        <v>180000</v>
      </c>
      <c r="H94" s="31">
        <f t="shared" si="9"/>
        <v>231558</v>
      </c>
      <c r="I94" s="31">
        <f t="shared" si="9"/>
        <v>0</v>
      </c>
      <c r="J94" s="31">
        <f t="shared" si="9"/>
        <v>11623752</v>
      </c>
      <c r="K94" s="247">
        <f>J94/J$142*100</f>
        <v>0.32360111358574611</v>
      </c>
    </row>
    <row r="95" spans="1:11" s="5" customFormat="1" x14ac:dyDescent="0.2">
      <c r="A95" s="99">
        <v>7130</v>
      </c>
      <c r="B95" s="100"/>
      <c r="C95" s="101" t="s">
        <v>517</v>
      </c>
      <c r="D95" s="102" t="s">
        <v>518</v>
      </c>
      <c r="E95" s="31">
        <v>7375000</v>
      </c>
      <c r="F95" s="31">
        <v>3837194</v>
      </c>
      <c r="G95" s="31">
        <v>180000</v>
      </c>
      <c r="H95" s="31">
        <v>231558</v>
      </c>
      <c r="I95" s="33">
        <v>0</v>
      </c>
      <c r="J95" s="33">
        <f>E95+F95+G95+H95-I95</f>
        <v>11623752</v>
      </c>
      <c r="K95" s="247">
        <f>J95/J$142*100</f>
        <v>0.32360111358574611</v>
      </c>
    </row>
    <row r="96" spans="1:11" customFormat="1" x14ac:dyDescent="0.2">
      <c r="A96" s="99"/>
      <c r="B96" s="100"/>
      <c r="C96" s="101" t="s">
        <v>519</v>
      </c>
      <c r="D96" s="102"/>
      <c r="E96" s="31"/>
      <c r="F96" s="31"/>
      <c r="G96" s="31"/>
      <c r="H96" s="31"/>
      <c r="I96" s="31"/>
      <c r="J96" s="34"/>
      <c r="K96" s="248"/>
    </row>
    <row r="97" spans="1:11" customFormat="1" x14ac:dyDescent="0.2">
      <c r="A97" s="99"/>
      <c r="B97" s="100"/>
      <c r="C97" s="101"/>
      <c r="D97" s="102" t="s">
        <v>462</v>
      </c>
      <c r="E97" s="31"/>
      <c r="F97" s="31"/>
      <c r="G97" s="31"/>
      <c r="H97" s="31"/>
      <c r="I97" s="31"/>
      <c r="J97" s="31"/>
      <c r="K97" s="248"/>
    </row>
    <row r="98" spans="1:11" s="5" customFormat="1" x14ac:dyDescent="0.2">
      <c r="A98" s="99">
        <v>714</v>
      </c>
      <c r="B98" s="100"/>
      <c r="C98" s="101" t="s">
        <v>520</v>
      </c>
      <c r="D98" s="102" t="s">
        <v>521</v>
      </c>
      <c r="E98" s="31">
        <f t="shared" ref="E98:J98" si="10">E99+E100</f>
        <v>8084542</v>
      </c>
      <c r="F98" s="31">
        <f t="shared" si="10"/>
        <v>17565346</v>
      </c>
      <c r="G98" s="31">
        <f t="shared" si="10"/>
        <v>4020974</v>
      </c>
      <c r="H98" s="31">
        <f t="shared" si="10"/>
        <v>2084324</v>
      </c>
      <c r="I98" s="31">
        <f t="shared" si="10"/>
        <v>2751228</v>
      </c>
      <c r="J98" s="31">
        <f t="shared" si="10"/>
        <v>29003958</v>
      </c>
      <c r="K98" s="247">
        <f>J98/J$142*100</f>
        <v>0.807459855233853</v>
      </c>
    </row>
    <row r="99" spans="1:11" s="5" customFormat="1" x14ac:dyDescent="0.2">
      <c r="A99" s="99">
        <v>7140</v>
      </c>
      <c r="B99" s="100"/>
      <c r="C99" s="101" t="s">
        <v>522</v>
      </c>
      <c r="D99" s="102" t="s">
        <v>523</v>
      </c>
      <c r="E99" s="31">
        <v>0</v>
      </c>
      <c r="F99" s="31">
        <v>0</v>
      </c>
      <c r="G99" s="31">
        <v>3175430</v>
      </c>
      <c r="H99" s="31">
        <v>0</v>
      </c>
      <c r="I99" s="31">
        <v>0</v>
      </c>
      <c r="J99" s="31">
        <f>E99+F99+G99+H99</f>
        <v>3175430</v>
      </c>
      <c r="K99" s="247">
        <f>J99/J$142*100</f>
        <v>8.8402839643652559E-2</v>
      </c>
    </row>
    <row r="100" spans="1:11" s="5" customFormat="1" x14ac:dyDescent="0.2">
      <c r="A100" s="99">
        <v>7141</v>
      </c>
      <c r="B100" s="100"/>
      <c r="C100" s="101" t="s">
        <v>524</v>
      </c>
      <c r="D100" s="102" t="s">
        <v>525</v>
      </c>
      <c r="E100" s="31">
        <v>8084542</v>
      </c>
      <c r="F100" s="31">
        <f>21315346-1200000-600000-1950000</f>
        <v>17565346</v>
      </c>
      <c r="G100" s="31">
        <v>845544</v>
      </c>
      <c r="H100" s="31">
        <v>2084324</v>
      </c>
      <c r="I100" s="33">
        <f>F221</f>
        <v>2751228</v>
      </c>
      <c r="J100" s="33">
        <f>E100+F100+G100+H100-I100</f>
        <v>25828528</v>
      </c>
      <c r="K100" s="247">
        <f>J100/J$142*100</f>
        <v>0.71905701559020041</v>
      </c>
    </row>
    <row r="101" spans="1:11" customFormat="1" x14ac:dyDescent="0.2">
      <c r="A101" s="99"/>
      <c r="B101" s="100"/>
      <c r="C101" s="101"/>
      <c r="D101" s="102"/>
      <c r="E101" s="31"/>
      <c r="F101" s="31"/>
      <c r="G101" s="31"/>
      <c r="H101" s="31"/>
      <c r="I101" s="31"/>
      <c r="J101" s="31"/>
      <c r="K101" s="248"/>
    </row>
    <row r="102" spans="1:11" s="6" customFormat="1" ht="15.75" x14ac:dyDescent="0.25">
      <c r="A102" s="88">
        <v>72</v>
      </c>
      <c r="B102" s="89"/>
      <c r="C102" s="90" t="s">
        <v>526</v>
      </c>
      <c r="D102" s="91" t="s">
        <v>527</v>
      </c>
      <c r="E102" s="32">
        <f>E105+E111+E115</f>
        <v>0</v>
      </c>
      <c r="F102" s="32">
        <f>F105+F111+F115</f>
        <v>4000000</v>
      </c>
      <c r="G102" s="32">
        <f>G105+G111+G115</f>
        <v>0</v>
      </c>
      <c r="H102" s="32">
        <f>H105+H111+H115</f>
        <v>0</v>
      </c>
      <c r="I102" s="32">
        <f>I105+I111+I115</f>
        <v>0</v>
      </c>
      <c r="J102" s="32">
        <f>E102+F102+G102+H102-I102</f>
        <v>4000000</v>
      </c>
      <c r="K102" s="245">
        <f>J102/J$142*100</f>
        <v>0.11135857461024498</v>
      </c>
    </row>
    <row r="103" spans="1:11" customFormat="1" x14ac:dyDescent="0.2">
      <c r="A103" s="99"/>
      <c r="B103" s="100"/>
      <c r="C103" s="101" t="s">
        <v>528</v>
      </c>
      <c r="D103" s="102" t="s">
        <v>528</v>
      </c>
      <c r="E103" s="31"/>
      <c r="F103" s="31"/>
      <c r="G103" s="31"/>
      <c r="H103" s="31"/>
      <c r="I103" s="31"/>
      <c r="J103" s="31"/>
      <c r="K103" s="248"/>
    </row>
    <row r="104" spans="1:11" customFormat="1" x14ac:dyDescent="0.2">
      <c r="A104" s="99"/>
      <c r="B104" s="100"/>
      <c r="C104" s="101"/>
      <c r="D104" s="102"/>
      <c r="E104" s="31"/>
      <c r="F104" s="31"/>
      <c r="G104" s="31"/>
      <c r="H104" s="31"/>
      <c r="I104" s="31"/>
      <c r="J104" s="31"/>
      <c r="K104" s="248"/>
    </row>
    <row r="105" spans="1:11" s="5" customFormat="1" x14ac:dyDescent="0.2">
      <c r="A105" s="99">
        <v>720</v>
      </c>
      <c r="B105" s="100"/>
      <c r="C105" s="101" t="s">
        <v>529</v>
      </c>
      <c r="D105" s="102" t="s">
        <v>530</v>
      </c>
      <c r="E105" s="31">
        <f>SUM(E106:E109)</f>
        <v>0</v>
      </c>
      <c r="F105" s="31">
        <f>SUM(F106:F109)</f>
        <v>4000000</v>
      </c>
      <c r="G105" s="31">
        <f>SUM(G106:G109)</f>
        <v>0</v>
      </c>
      <c r="H105" s="31">
        <f>SUM(H106:H109)</f>
        <v>0</v>
      </c>
      <c r="I105" s="31">
        <f>SUM(I106:I109)</f>
        <v>0</v>
      </c>
      <c r="J105" s="31">
        <f>E105+F105+G105+H105</f>
        <v>4000000</v>
      </c>
      <c r="K105" s="247">
        <f>J105/J$142*100</f>
        <v>0.11135857461024498</v>
      </c>
    </row>
    <row r="106" spans="1:11" s="5" customFormat="1" x14ac:dyDescent="0.2">
      <c r="A106" s="99">
        <v>7200</v>
      </c>
      <c r="B106" s="100"/>
      <c r="C106" s="101" t="s">
        <v>531</v>
      </c>
      <c r="D106" s="102" t="s">
        <v>532</v>
      </c>
      <c r="E106" s="31">
        <v>0</v>
      </c>
      <c r="F106" s="31">
        <v>4000000</v>
      </c>
      <c r="G106" s="31">
        <v>0</v>
      </c>
      <c r="H106" s="31">
        <v>0</v>
      </c>
      <c r="I106" s="31">
        <v>0</v>
      </c>
      <c r="J106" s="31">
        <f>E106+F106+G106+H106</f>
        <v>4000000</v>
      </c>
      <c r="K106" s="247">
        <f>J106/J$142*100</f>
        <v>0.11135857461024498</v>
      </c>
    </row>
    <row r="107" spans="1:11" s="5" customFormat="1" x14ac:dyDescent="0.2">
      <c r="A107" s="99">
        <v>7201</v>
      </c>
      <c r="B107" s="100"/>
      <c r="C107" s="101" t="s">
        <v>533</v>
      </c>
      <c r="D107" s="102" t="s">
        <v>534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f>E107+F107+G107+H107</f>
        <v>0</v>
      </c>
      <c r="K107" s="247">
        <f>J107/J$142*100</f>
        <v>0</v>
      </c>
    </row>
    <row r="108" spans="1:11" s="5" customFormat="1" x14ac:dyDescent="0.2">
      <c r="A108" s="99">
        <v>7202</v>
      </c>
      <c r="B108" s="100"/>
      <c r="C108" s="101" t="s">
        <v>535</v>
      </c>
      <c r="D108" s="102" t="s">
        <v>536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f>E108+F108+G108+H108</f>
        <v>0</v>
      </c>
      <c r="K108" s="247">
        <f>J108/J$142*100</f>
        <v>0</v>
      </c>
    </row>
    <row r="109" spans="1:11" s="5" customFormat="1" x14ac:dyDescent="0.2">
      <c r="A109" s="99">
        <v>7203</v>
      </c>
      <c r="B109" s="100"/>
      <c r="C109" s="101" t="s">
        <v>537</v>
      </c>
      <c r="D109" s="102" t="s">
        <v>538</v>
      </c>
      <c r="E109" s="31">
        <v>0</v>
      </c>
      <c r="F109" s="31">
        <v>0</v>
      </c>
      <c r="G109" s="31">
        <v>0</v>
      </c>
      <c r="H109" s="31">
        <v>0</v>
      </c>
      <c r="I109" s="31"/>
      <c r="J109" s="31">
        <f>E109+F109+G109+H109</f>
        <v>0</v>
      </c>
      <c r="K109" s="247">
        <f>J109/J$142*100</f>
        <v>0</v>
      </c>
    </row>
    <row r="110" spans="1:11" customFormat="1" x14ac:dyDescent="0.2">
      <c r="A110" s="99"/>
      <c r="B110" s="100"/>
      <c r="C110" s="101"/>
      <c r="D110" s="102"/>
      <c r="E110" s="31"/>
      <c r="F110" s="31"/>
      <c r="G110" s="31"/>
      <c r="H110" s="31"/>
      <c r="I110" s="31"/>
      <c r="J110" s="31"/>
      <c r="K110" s="248"/>
    </row>
    <row r="111" spans="1:11" s="5" customFormat="1" x14ac:dyDescent="0.2">
      <c r="A111" s="99">
        <v>721</v>
      </c>
      <c r="B111" s="100"/>
      <c r="C111" s="101" t="s">
        <v>539</v>
      </c>
      <c r="D111" s="102" t="s">
        <v>540</v>
      </c>
      <c r="E111" s="31">
        <f>E112+E113</f>
        <v>0</v>
      </c>
      <c r="F111" s="31">
        <f>F112+F113</f>
        <v>0</v>
      </c>
      <c r="G111" s="31">
        <f>G112+G113</f>
        <v>0</v>
      </c>
      <c r="H111" s="31">
        <f>H112+H113</f>
        <v>0</v>
      </c>
      <c r="I111" s="31">
        <f>I112+I113</f>
        <v>0</v>
      </c>
      <c r="J111" s="31">
        <f>E111+F111+G111+H111</f>
        <v>0</v>
      </c>
      <c r="K111" s="247">
        <f>J111/J$142*100</f>
        <v>0</v>
      </c>
    </row>
    <row r="112" spans="1:11" s="5" customFormat="1" x14ac:dyDescent="0.2">
      <c r="A112" s="99">
        <v>7210</v>
      </c>
      <c r="B112" s="100"/>
      <c r="C112" s="101" t="s">
        <v>541</v>
      </c>
      <c r="D112" s="102" t="s">
        <v>542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f>E112+F112+G112+H112</f>
        <v>0</v>
      </c>
      <c r="K112" s="248"/>
    </row>
    <row r="113" spans="1:11" s="5" customFormat="1" x14ac:dyDescent="0.2">
      <c r="A113" s="99">
        <v>7211</v>
      </c>
      <c r="B113" s="100"/>
      <c r="C113" s="101" t="s">
        <v>543</v>
      </c>
      <c r="D113" s="102" t="s">
        <v>544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f>E113+F113+G113+H113</f>
        <v>0</v>
      </c>
      <c r="K113" s="248"/>
    </row>
    <row r="114" spans="1:11" customFormat="1" x14ac:dyDescent="0.2">
      <c r="A114" s="99"/>
      <c r="B114" s="100"/>
      <c r="C114" s="101"/>
      <c r="D114" s="102"/>
      <c r="E114" s="31"/>
      <c r="F114" s="31"/>
      <c r="G114" s="31"/>
      <c r="H114" s="31"/>
      <c r="I114" s="31"/>
      <c r="J114" s="31"/>
      <c r="K114" s="248"/>
    </row>
    <row r="115" spans="1:11" s="5" customFormat="1" x14ac:dyDescent="0.2">
      <c r="A115" s="99">
        <v>722</v>
      </c>
      <c r="B115" s="100"/>
      <c r="C115" s="101" t="s">
        <v>545</v>
      </c>
      <c r="D115" s="102" t="s">
        <v>546</v>
      </c>
      <c r="E115" s="31">
        <f>E116+E117+E118</f>
        <v>0</v>
      </c>
      <c r="F115" s="31">
        <f>F116+F117+F118</f>
        <v>0</v>
      </c>
      <c r="G115" s="31">
        <f>G116+G117+G118</f>
        <v>0</v>
      </c>
      <c r="H115" s="31">
        <f>H116+H117+H118</f>
        <v>0</v>
      </c>
      <c r="I115" s="31">
        <f>I116+I117+I118</f>
        <v>0</v>
      </c>
      <c r="J115" s="31">
        <f>E115+F115+G115+H115</f>
        <v>0</v>
      </c>
      <c r="K115" s="247">
        <f>J115/J$142*100</f>
        <v>0</v>
      </c>
    </row>
    <row r="116" spans="1:11" s="5" customFormat="1" x14ac:dyDescent="0.2">
      <c r="A116" s="99">
        <v>7220</v>
      </c>
      <c r="B116" s="100"/>
      <c r="C116" s="101" t="s">
        <v>547</v>
      </c>
      <c r="D116" s="102" t="s">
        <v>548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f>E116+F116+G116+H116</f>
        <v>0</v>
      </c>
      <c r="K116" s="248"/>
    </row>
    <row r="117" spans="1:11" s="5" customFormat="1" x14ac:dyDescent="0.2">
      <c r="A117" s="99">
        <v>7221</v>
      </c>
      <c r="B117" s="100"/>
      <c r="C117" s="101" t="s">
        <v>549</v>
      </c>
      <c r="D117" s="102" t="s">
        <v>550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f>E117+F117+G117+H117</f>
        <v>0</v>
      </c>
      <c r="K117" s="248"/>
    </row>
    <row r="118" spans="1:11" s="5" customFormat="1" x14ac:dyDescent="0.2">
      <c r="A118" s="99">
        <v>7222</v>
      </c>
      <c r="B118" s="100"/>
      <c r="C118" s="101" t="s">
        <v>551</v>
      </c>
      <c r="D118" s="102" t="s">
        <v>552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f>E118+F118+G118+H118</f>
        <v>0</v>
      </c>
      <c r="K118" s="248"/>
    </row>
    <row r="119" spans="1:11" customFormat="1" x14ac:dyDescent="0.2">
      <c r="A119" s="99"/>
      <c r="B119" s="100"/>
      <c r="C119" s="101"/>
      <c r="D119" s="102" t="s">
        <v>462</v>
      </c>
      <c r="E119" s="31"/>
      <c r="F119" s="31"/>
      <c r="G119" s="31"/>
      <c r="H119" s="31"/>
      <c r="I119" s="31"/>
      <c r="J119" s="31"/>
      <c r="K119" s="248"/>
    </row>
    <row r="120" spans="1:11" s="6" customFormat="1" ht="15.75" x14ac:dyDescent="0.25">
      <c r="A120" s="88">
        <v>73</v>
      </c>
      <c r="B120" s="89"/>
      <c r="C120" s="90" t="s">
        <v>553</v>
      </c>
      <c r="D120" s="91" t="s">
        <v>554</v>
      </c>
      <c r="E120" s="32">
        <f>E123+E127</f>
        <v>0</v>
      </c>
      <c r="F120" s="32">
        <f>F123+F127</f>
        <v>0</v>
      </c>
      <c r="G120" s="32">
        <f>G123+G127</f>
        <v>0</v>
      </c>
      <c r="H120" s="32">
        <f>H123+H127</f>
        <v>0</v>
      </c>
      <c r="I120" s="32">
        <f>I123+I127</f>
        <v>0</v>
      </c>
      <c r="J120" s="32">
        <f>E120+F120+G120+H120-I120</f>
        <v>0</v>
      </c>
      <c r="K120" s="245">
        <f>J120/J$142*100</f>
        <v>0</v>
      </c>
    </row>
    <row r="121" spans="1:11" customFormat="1" x14ac:dyDescent="0.2">
      <c r="A121" s="99"/>
      <c r="B121" s="100"/>
      <c r="C121" s="101" t="s">
        <v>555</v>
      </c>
      <c r="D121" s="102" t="s">
        <v>555</v>
      </c>
      <c r="E121" s="31"/>
      <c r="F121" s="31"/>
      <c r="G121" s="31"/>
      <c r="H121" s="31"/>
      <c r="I121" s="31"/>
      <c r="J121" s="31"/>
      <c r="K121" s="248"/>
    </row>
    <row r="122" spans="1:11" customFormat="1" x14ac:dyDescent="0.2">
      <c r="A122" s="99"/>
      <c r="B122" s="100"/>
      <c r="C122" s="101"/>
      <c r="D122" s="102"/>
      <c r="E122" s="31"/>
      <c r="F122" s="31"/>
      <c r="G122" s="31"/>
      <c r="H122" s="31"/>
      <c r="I122" s="31"/>
      <c r="J122" s="31"/>
      <c r="K122" s="248"/>
    </row>
    <row r="123" spans="1:11" s="5" customFormat="1" x14ac:dyDescent="0.2">
      <c r="A123" s="99">
        <v>730</v>
      </c>
      <c r="B123" s="100"/>
      <c r="C123" s="101" t="s">
        <v>556</v>
      </c>
      <c r="D123" s="102" t="s">
        <v>557</v>
      </c>
      <c r="E123" s="31">
        <f t="shared" ref="E123:J123" si="11">E124+E125</f>
        <v>0</v>
      </c>
      <c r="F123" s="31">
        <f t="shared" si="11"/>
        <v>0</v>
      </c>
      <c r="G123" s="31">
        <f t="shared" si="11"/>
        <v>0</v>
      </c>
      <c r="H123" s="31">
        <f t="shared" si="11"/>
        <v>0</v>
      </c>
      <c r="I123" s="31">
        <f t="shared" si="11"/>
        <v>0</v>
      </c>
      <c r="J123" s="31">
        <f t="shared" si="11"/>
        <v>0</v>
      </c>
      <c r="K123" s="247">
        <f>J123/J$142*100</f>
        <v>0</v>
      </c>
    </row>
    <row r="124" spans="1:11" s="5" customFormat="1" x14ac:dyDescent="0.2">
      <c r="A124" s="99">
        <v>7300</v>
      </c>
      <c r="B124" s="100"/>
      <c r="C124" s="101" t="s">
        <v>558</v>
      </c>
      <c r="D124" s="102" t="s">
        <v>559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f>E124+F124+G124+H124</f>
        <v>0</v>
      </c>
      <c r="K124" s="248"/>
    </row>
    <row r="125" spans="1:11" s="5" customFormat="1" x14ac:dyDescent="0.2">
      <c r="A125" s="99">
        <v>7301</v>
      </c>
      <c r="B125" s="100"/>
      <c r="C125" s="101" t="s">
        <v>560</v>
      </c>
      <c r="D125" s="102" t="s">
        <v>561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f>E125+F125+G125+H125</f>
        <v>0</v>
      </c>
      <c r="K125" s="248"/>
    </row>
    <row r="126" spans="1:11" customFormat="1" x14ac:dyDescent="0.2">
      <c r="A126" s="99"/>
      <c r="B126" s="100"/>
      <c r="C126" s="101"/>
      <c r="D126" s="102" t="s">
        <v>562</v>
      </c>
      <c r="E126" s="31"/>
      <c r="F126" s="31"/>
      <c r="G126" s="31"/>
      <c r="H126" s="31"/>
      <c r="I126" s="31"/>
      <c r="J126" s="31"/>
      <c r="K126" s="247"/>
    </row>
    <row r="127" spans="1:11" s="5" customFormat="1" x14ac:dyDescent="0.2">
      <c r="A127" s="99">
        <v>731</v>
      </c>
      <c r="B127" s="100"/>
      <c r="C127" s="101" t="s">
        <v>563</v>
      </c>
      <c r="D127" s="102" t="s">
        <v>564</v>
      </c>
      <c r="E127" s="31">
        <f>E128+E129</f>
        <v>0</v>
      </c>
      <c r="F127" s="31">
        <f>F128+F129</f>
        <v>0</v>
      </c>
      <c r="G127" s="31">
        <f>G128+G129</f>
        <v>0</v>
      </c>
      <c r="H127" s="31">
        <f>H128+H129</f>
        <v>0</v>
      </c>
      <c r="I127" s="31">
        <f>I128+I129</f>
        <v>0</v>
      </c>
      <c r="J127" s="31">
        <f>E127+F127+G127+H127</f>
        <v>0</v>
      </c>
      <c r="K127" s="247">
        <f>J127/J$142*100</f>
        <v>0</v>
      </c>
    </row>
    <row r="128" spans="1:11" s="5" customFormat="1" x14ac:dyDescent="0.2">
      <c r="A128" s="99">
        <v>7310</v>
      </c>
      <c r="B128" s="100"/>
      <c r="C128" s="101" t="s">
        <v>565</v>
      </c>
      <c r="D128" s="102" t="s">
        <v>566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f>E128+F128+G128+H128</f>
        <v>0</v>
      </c>
      <c r="K128" s="247">
        <f>J128/J$142*100</f>
        <v>0</v>
      </c>
    </row>
    <row r="129" spans="1:11" s="5" customFormat="1" x14ac:dyDescent="0.2">
      <c r="A129" s="99">
        <v>7311</v>
      </c>
      <c r="B129" s="100"/>
      <c r="C129" s="101" t="s">
        <v>567</v>
      </c>
      <c r="D129" s="102" t="s">
        <v>568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f>E129+F129+G129+H129</f>
        <v>0</v>
      </c>
      <c r="K129" s="247">
        <f>J129/J$142*100</f>
        <v>0</v>
      </c>
    </row>
    <row r="130" spans="1:11" customFormat="1" x14ac:dyDescent="0.2">
      <c r="A130" s="99"/>
      <c r="B130" s="100"/>
      <c r="C130" s="101"/>
      <c r="D130" s="102"/>
      <c r="E130" s="31"/>
      <c r="F130" s="31"/>
      <c r="G130" s="31"/>
      <c r="H130" s="31"/>
      <c r="I130" s="31"/>
      <c r="J130" s="31"/>
      <c r="K130" s="248"/>
    </row>
    <row r="131" spans="1:11" s="6" customFormat="1" ht="15.75" x14ac:dyDescent="0.25">
      <c r="A131" s="13">
        <v>74</v>
      </c>
      <c r="B131" s="18"/>
      <c r="C131" s="361" t="s">
        <v>569</v>
      </c>
      <c r="D131" s="350" t="s">
        <v>570</v>
      </c>
      <c r="E131" s="30">
        <f>E133</f>
        <v>0</v>
      </c>
      <c r="F131" s="30">
        <f>F133</f>
        <v>40207228</v>
      </c>
      <c r="G131" s="30">
        <f>G133</f>
        <v>155759777</v>
      </c>
      <c r="H131" s="30">
        <f>H133</f>
        <v>40661494</v>
      </c>
      <c r="I131" s="30">
        <f>I133</f>
        <v>236628499</v>
      </c>
      <c r="J131" s="30">
        <f>E131+F131+G131+H131-I131</f>
        <v>0</v>
      </c>
      <c r="K131" s="270"/>
    </row>
    <row r="132" spans="1:11" customFormat="1" x14ac:dyDescent="0.2">
      <c r="A132" s="210"/>
      <c r="B132" s="319"/>
      <c r="C132" s="357"/>
      <c r="D132" s="349" t="s">
        <v>462</v>
      </c>
      <c r="E132" s="33"/>
      <c r="F132" s="33"/>
      <c r="G132" s="33"/>
      <c r="H132" s="33"/>
      <c r="I132" s="33"/>
      <c r="J132" s="33"/>
      <c r="K132" s="251"/>
    </row>
    <row r="133" spans="1:11" s="5" customFormat="1" x14ac:dyDescent="0.2">
      <c r="A133" s="210">
        <v>740</v>
      </c>
      <c r="B133" s="319"/>
      <c r="C133" s="357" t="s">
        <v>571</v>
      </c>
      <c r="D133" s="349" t="s">
        <v>572</v>
      </c>
      <c r="E133" s="33">
        <f>E135+E136+E137+E138</f>
        <v>0</v>
      </c>
      <c r="F133" s="33">
        <f>F135+F136+F137+F138</f>
        <v>40207228</v>
      </c>
      <c r="G133" s="33">
        <f>G135+G136+G137+G138</f>
        <v>155759777</v>
      </c>
      <c r="H133" s="33">
        <f>H135+H136+H137+H138</f>
        <v>40661494</v>
      </c>
      <c r="I133" s="33">
        <f>I135+I136+I137+I138</f>
        <v>236628499</v>
      </c>
      <c r="J133" s="33">
        <f>E133+F133+G133+H133-I133</f>
        <v>0</v>
      </c>
      <c r="K133" s="251"/>
    </row>
    <row r="134" spans="1:11" customFormat="1" x14ac:dyDescent="0.2">
      <c r="A134" s="210"/>
      <c r="B134" s="319"/>
      <c r="C134" s="357" t="s">
        <v>573</v>
      </c>
      <c r="D134" s="349" t="s">
        <v>574</v>
      </c>
      <c r="E134" s="33"/>
      <c r="F134" s="33"/>
      <c r="G134" s="33"/>
      <c r="H134" s="33"/>
      <c r="I134" s="33"/>
      <c r="J134" s="33"/>
      <c r="K134" s="251"/>
    </row>
    <row r="135" spans="1:11" s="5" customFormat="1" x14ac:dyDescent="0.2">
      <c r="A135" s="210">
        <v>7400</v>
      </c>
      <c r="B135" s="319"/>
      <c r="C135" s="357" t="s">
        <v>575</v>
      </c>
      <c r="D135" s="349" t="s">
        <v>576</v>
      </c>
      <c r="E135" s="33"/>
      <c r="F135" s="33">
        <v>34907228</v>
      </c>
      <c r="G135" s="380">
        <v>155759777</v>
      </c>
      <c r="H135" s="44">
        <v>2312355</v>
      </c>
      <c r="I135" s="33">
        <f>E135+F135+G135+H135</f>
        <v>192979360</v>
      </c>
      <c r="J135" s="33">
        <f>E135+F135+G135+H135-I135</f>
        <v>0</v>
      </c>
      <c r="K135" s="251"/>
    </row>
    <row r="136" spans="1:11" s="5" customFormat="1" x14ac:dyDescent="0.2">
      <c r="A136" s="210">
        <v>7401</v>
      </c>
      <c r="B136" s="319"/>
      <c r="C136" s="357" t="s">
        <v>577</v>
      </c>
      <c r="D136" s="349" t="s">
        <v>578</v>
      </c>
      <c r="E136" s="33">
        <v>0</v>
      </c>
      <c r="F136" s="33">
        <v>4700000</v>
      </c>
      <c r="G136" s="33">
        <v>0</v>
      </c>
      <c r="H136" s="44">
        <v>1729381</v>
      </c>
      <c r="I136" s="33">
        <f>E136+F136+G136+H136</f>
        <v>6429381</v>
      </c>
      <c r="J136" s="33">
        <f>E136+F136+G136+H136-I136</f>
        <v>0</v>
      </c>
      <c r="K136" s="251"/>
    </row>
    <row r="137" spans="1:11" s="5" customFormat="1" x14ac:dyDescent="0.2">
      <c r="A137" s="210">
        <v>7402</v>
      </c>
      <c r="B137" s="319"/>
      <c r="C137" s="357" t="s">
        <v>579</v>
      </c>
      <c r="D137" s="349" t="s">
        <v>580</v>
      </c>
      <c r="E137" s="33">
        <v>0</v>
      </c>
      <c r="F137" s="33">
        <v>0</v>
      </c>
      <c r="G137" s="33">
        <v>0</v>
      </c>
      <c r="H137" s="33">
        <v>36619758</v>
      </c>
      <c r="I137" s="33">
        <f>E137+F137+G137+H137</f>
        <v>36619758</v>
      </c>
      <c r="J137" s="33">
        <f>E137+F137+G137+H137-I137</f>
        <v>0</v>
      </c>
      <c r="K137" s="251"/>
    </row>
    <row r="138" spans="1:11" s="5" customFormat="1" x14ac:dyDescent="0.2">
      <c r="A138" s="210">
        <v>7403</v>
      </c>
      <c r="B138" s="319"/>
      <c r="C138" s="357" t="s">
        <v>581</v>
      </c>
      <c r="D138" s="349" t="s">
        <v>582</v>
      </c>
      <c r="E138" s="33">
        <v>0</v>
      </c>
      <c r="F138" s="33">
        <v>600000</v>
      </c>
      <c r="G138" s="33">
        <v>0</v>
      </c>
      <c r="H138" s="33">
        <v>0</v>
      </c>
      <c r="I138" s="33">
        <f>E138+F138+G138+H138</f>
        <v>600000</v>
      </c>
      <c r="J138" s="33">
        <f>E138+F138+G138+H138-I138</f>
        <v>0</v>
      </c>
      <c r="K138" s="251"/>
    </row>
    <row r="139" spans="1:11" customFormat="1" ht="15.75" thickBot="1" x14ac:dyDescent="0.25">
      <c r="A139" s="310"/>
      <c r="B139" s="320"/>
      <c r="C139" s="358"/>
      <c r="D139" s="351"/>
      <c r="E139" s="35"/>
      <c r="F139" s="35"/>
      <c r="G139" s="35"/>
      <c r="H139" s="35"/>
      <c r="I139" s="35"/>
      <c r="J139" s="35"/>
      <c r="K139" s="271"/>
    </row>
    <row r="140" spans="1:11" customFormat="1" ht="15.75" thickTop="1" x14ac:dyDescent="0.2">
      <c r="A140" s="311"/>
      <c r="B140" s="387"/>
      <c r="C140" s="371"/>
      <c r="D140" s="371"/>
      <c r="E140" s="36"/>
      <c r="F140" s="36"/>
      <c r="G140" s="36"/>
      <c r="H140" s="36"/>
      <c r="I140" s="36"/>
      <c r="J140" s="36"/>
      <c r="K140" s="299"/>
    </row>
    <row r="141" spans="1:11" s="6" customFormat="1" ht="16.5" thickBot="1" x14ac:dyDescent="0.3">
      <c r="A141" s="304"/>
      <c r="B141" s="304"/>
      <c r="C141" s="345"/>
      <c r="D141" s="345"/>
      <c r="E141" s="129"/>
      <c r="F141" s="129"/>
      <c r="G141" s="129"/>
      <c r="H141" s="129"/>
      <c r="I141" s="129"/>
      <c r="J141" s="129" t="s">
        <v>809</v>
      </c>
      <c r="K141" s="129"/>
    </row>
    <row r="142" spans="1:11" s="6" customFormat="1" ht="17.25" thickTop="1" thickBot="1" x14ac:dyDescent="0.3">
      <c r="A142" s="304" t="s">
        <v>866</v>
      </c>
      <c r="B142" s="304"/>
      <c r="C142" s="353" t="s">
        <v>583</v>
      </c>
      <c r="D142" s="353"/>
      <c r="E142" s="297"/>
      <c r="F142" s="297"/>
      <c r="G142" s="297"/>
      <c r="H142" s="297"/>
      <c r="I142" s="297"/>
      <c r="J142" s="298">
        <v>3592000000</v>
      </c>
      <c r="K142" s="129"/>
    </row>
    <row r="143" spans="1:11" s="6" customFormat="1" ht="16.5" thickTop="1" x14ac:dyDescent="0.25">
      <c r="A143" s="388"/>
      <c r="B143" s="388"/>
      <c r="C143" s="389"/>
      <c r="D143" s="389"/>
      <c r="E143" s="43"/>
      <c r="F143" s="43"/>
      <c r="G143" s="43"/>
      <c r="H143" s="43"/>
      <c r="I143" s="390"/>
      <c r="J143" s="43"/>
      <c r="K143" s="43"/>
    </row>
    <row r="144" spans="1:11" customFormat="1" ht="15.75" thickBot="1" x14ac:dyDescent="0.25">
      <c r="A144" s="99"/>
      <c r="B144" s="100"/>
      <c r="C144" s="101"/>
      <c r="D144" s="102"/>
      <c r="E144" s="31"/>
      <c r="F144" s="31"/>
      <c r="G144" s="31"/>
      <c r="H144" s="31"/>
      <c r="I144" s="31"/>
      <c r="J144" s="35"/>
      <c r="K144" s="271"/>
    </row>
    <row r="145" spans="1:11" s="6" customFormat="1" ht="17.25" thickTop="1" thickBot="1" x14ac:dyDescent="0.3">
      <c r="A145" s="13"/>
      <c r="B145" s="18" t="s">
        <v>83</v>
      </c>
      <c r="C145" s="361" t="s">
        <v>585</v>
      </c>
      <c r="D145" s="350" t="s">
        <v>586</v>
      </c>
      <c r="E145" s="30">
        <f>E148+E196+E238+E252</f>
        <v>960664542</v>
      </c>
      <c r="F145" s="30">
        <f>F148+F196+F238+F252</f>
        <v>180879425</v>
      </c>
      <c r="G145" s="30">
        <f>G148+G196+G238+G252</f>
        <v>527966500</v>
      </c>
      <c r="H145" s="30">
        <f>H148+H196+H238+H252</f>
        <v>234447925</v>
      </c>
      <c r="I145" s="46">
        <f>I148+I196+I238+I252</f>
        <v>298045613</v>
      </c>
      <c r="J145" s="382">
        <f>E145+F145+G145+H145-I145</f>
        <v>1605912779</v>
      </c>
      <c r="K145" s="275">
        <f>J145/J$142*100</f>
        <v>44.708039504454348</v>
      </c>
    </row>
    <row r="146" spans="1:11" s="6" customFormat="1" ht="16.5" thickTop="1" x14ac:dyDescent="0.25">
      <c r="A146" s="13"/>
      <c r="B146" s="18"/>
      <c r="C146" s="361" t="s">
        <v>587</v>
      </c>
      <c r="D146" s="350" t="s">
        <v>587</v>
      </c>
      <c r="E146" s="30"/>
      <c r="F146" s="30"/>
      <c r="G146" s="30"/>
      <c r="H146" s="30"/>
      <c r="I146" s="30"/>
      <c r="J146" s="391"/>
      <c r="K146" s="301"/>
    </row>
    <row r="147" spans="1:11" customFormat="1" x14ac:dyDescent="0.2">
      <c r="A147" s="99"/>
      <c r="B147" s="100"/>
      <c r="C147" s="101"/>
      <c r="D147" s="102"/>
      <c r="E147" s="31"/>
      <c r="F147" s="31"/>
      <c r="G147" s="31"/>
      <c r="H147" s="31"/>
      <c r="I147" s="31"/>
      <c r="J147" s="31"/>
      <c r="K147" s="248"/>
    </row>
    <row r="148" spans="1:11" s="6" customFormat="1" ht="15.75" x14ac:dyDescent="0.25">
      <c r="A148" s="88">
        <v>40</v>
      </c>
      <c r="B148" s="89"/>
      <c r="C148" s="90" t="s">
        <v>588</v>
      </c>
      <c r="D148" s="91" t="s">
        <v>589</v>
      </c>
      <c r="E148" s="32">
        <f>E151+E160+E166+E178+E185+E191</f>
        <v>283532694</v>
      </c>
      <c r="F148" s="32">
        <f>F151+F160+F166+F178+F185+F191</f>
        <v>31919513</v>
      </c>
      <c r="G148" s="32">
        <f>G151+G160+G166+G178+G185+G191</f>
        <v>7189047</v>
      </c>
      <c r="H148" s="32">
        <f>H151+H160+H166+H178+H185+H191</f>
        <v>5942393</v>
      </c>
      <c r="I148" s="32">
        <f>I151+I160+I166+I178+I185+I191</f>
        <v>18407550</v>
      </c>
      <c r="J148" s="32">
        <f>E148+F148+G148+H148-I148</f>
        <v>310176097</v>
      </c>
      <c r="K148" s="245">
        <f>J148/J$142*100</f>
        <v>8.635192010022271</v>
      </c>
    </row>
    <row r="149" spans="1:11" customFormat="1" x14ac:dyDescent="0.2">
      <c r="A149" s="99"/>
      <c r="B149" s="100"/>
      <c r="C149" s="101" t="s">
        <v>590</v>
      </c>
      <c r="D149" s="102" t="s">
        <v>590</v>
      </c>
      <c r="E149" s="31"/>
      <c r="F149" s="31"/>
      <c r="G149" s="31"/>
      <c r="H149" s="31"/>
      <c r="I149" s="31"/>
      <c r="J149" s="31"/>
      <c r="K149" s="248"/>
    </row>
    <row r="150" spans="1:11" customFormat="1" x14ac:dyDescent="0.2">
      <c r="A150" s="99"/>
      <c r="B150" s="100"/>
      <c r="C150" s="101"/>
      <c r="D150" s="102"/>
      <c r="E150" s="31"/>
      <c r="F150" s="31"/>
      <c r="G150" s="31"/>
      <c r="H150" s="31"/>
      <c r="I150" s="31"/>
      <c r="J150" s="31"/>
      <c r="K150" s="248"/>
    </row>
    <row r="151" spans="1:11" s="5" customFormat="1" x14ac:dyDescent="0.2">
      <c r="A151" s="99">
        <v>400</v>
      </c>
      <c r="B151" s="100"/>
      <c r="C151" s="101" t="s">
        <v>591</v>
      </c>
      <c r="D151" s="102" t="s">
        <v>592</v>
      </c>
      <c r="E151" s="31">
        <v>105090104</v>
      </c>
      <c r="F151" s="31">
        <v>9237009</v>
      </c>
      <c r="G151" s="31">
        <v>1999863</v>
      </c>
      <c r="H151" s="31">
        <v>2434312</v>
      </c>
      <c r="I151" s="31">
        <f>SUM(I152:I158)</f>
        <v>0</v>
      </c>
      <c r="J151" s="31">
        <f>E151+F151+G151+H151-I151</f>
        <v>118761288</v>
      </c>
      <c r="K151" s="247">
        <f>J151/J$142*100</f>
        <v>3.3062719376391985</v>
      </c>
    </row>
    <row r="152" spans="1:11" s="5" customFormat="1" x14ac:dyDescent="0.2">
      <c r="A152" s="99">
        <v>4000</v>
      </c>
      <c r="B152" s="100"/>
      <c r="C152" s="101" t="s">
        <v>593</v>
      </c>
      <c r="D152" s="102" t="s">
        <v>594</v>
      </c>
      <c r="E152" s="202" t="s">
        <v>845</v>
      </c>
      <c r="F152" s="202" t="s">
        <v>845</v>
      </c>
      <c r="G152" s="202" t="s">
        <v>845</v>
      </c>
      <c r="H152" s="202" t="s">
        <v>845</v>
      </c>
      <c r="I152" s="202" t="s">
        <v>845</v>
      </c>
      <c r="J152" s="202" t="s">
        <v>845</v>
      </c>
      <c r="K152" s="247"/>
    </row>
    <row r="153" spans="1:11" s="5" customFormat="1" x14ac:dyDescent="0.2">
      <c r="A153" s="99">
        <v>4001</v>
      </c>
      <c r="B153" s="100"/>
      <c r="C153" s="101" t="s">
        <v>595</v>
      </c>
      <c r="D153" s="102" t="s">
        <v>596</v>
      </c>
      <c r="E153" s="202" t="s">
        <v>845</v>
      </c>
      <c r="F153" s="202" t="s">
        <v>845</v>
      </c>
      <c r="G153" s="202" t="s">
        <v>845</v>
      </c>
      <c r="H153" s="202" t="s">
        <v>845</v>
      </c>
      <c r="I153" s="202" t="s">
        <v>845</v>
      </c>
      <c r="J153" s="202" t="s">
        <v>845</v>
      </c>
      <c r="K153" s="247"/>
    </row>
    <row r="154" spans="1:11" s="5" customFormat="1" x14ac:dyDescent="0.2">
      <c r="A154" s="99">
        <v>4002</v>
      </c>
      <c r="B154" s="100"/>
      <c r="C154" s="101" t="s">
        <v>597</v>
      </c>
      <c r="D154" s="102" t="s">
        <v>598</v>
      </c>
      <c r="E154" s="202" t="s">
        <v>845</v>
      </c>
      <c r="F154" s="202" t="s">
        <v>845</v>
      </c>
      <c r="G154" s="202" t="s">
        <v>845</v>
      </c>
      <c r="H154" s="202" t="s">
        <v>845</v>
      </c>
      <c r="I154" s="202" t="s">
        <v>845</v>
      </c>
      <c r="J154" s="202" t="s">
        <v>845</v>
      </c>
      <c r="K154" s="247"/>
    </row>
    <row r="155" spans="1:11" s="5" customFormat="1" x14ac:dyDescent="0.2">
      <c r="A155" s="99">
        <v>4003</v>
      </c>
      <c r="B155" s="100"/>
      <c r="C155" s="101" t="s">
        <v>599</v>
      </c>
      <c r="D155" s="102" t="s">
        <v>600</v>
      </c>
      <c r="E155" s="202" t="s">
        <v>845</v>
      </c>
      <c r="F155" s="202" t="s">
        <v>845</v>
      </c>
      <c r="G155" s="202" t="s">
        <v>845</v>
      </c>
      <c r="H155" s="202" t="s">
        <v>845</v>
      </c>
      <c r="I155" s="202" t="s">
        <v>845</v>
      </c>
      <c r="J155" s="202" t="s">
        <v>845</v>
      </c>
      <c r="K155" s="247"/>
    </row>
    <row r="156" spans="1:11" s="5" customFormat="1" x14ac:dyDescent="0.2">
      <c r="A156" s="99">
        <v>4004</v>
      </c>
      <c r="B156" s="100"/>
      <c r="C156" s="101" t="s">
        <v>601</v>
      </c>
      <c r="D156" s="102" t="s">
        <v>602</v>
      </c>
      <c r="E156" s="202" t="s">
        <v>845</v>
      </c>
      <c r="F156" s="202" t="s">
        <v>845</v>
      </c>
      <c r="G156" s="202" t="s">
        <v>845</v>
      </c>
      <c r="H156" s="202" t="s">
        <v>845</v>
      </c>
      <c r="I156" s="202" t="s">
        <v>845</v>
      </c>
      <c r="J156" s="202" t="s">
        <v>845</v>
      </c>
      <c r="K156" s="247"/>
    </row>
    <row r="157" spans="1:11" s="5" customFormat="1" x14ac:dyDescent="0.2">
      <c r="A157" s="99">
        <v>4005</v>
      </c>
      <c r="B157" s="100"/>
      <c r="C157" s="101" t="s">
        <v>603</v>
      </c>
      <c r="D157" s="102" t="s">
        <v>604</v>
      </c>
      <c r="E157" s="202" t="s">
        <v>845</v>
      </c>
      <c r="F157" s="202" t="s">
        <v>845</v>
      </c>
      <c r="G157" s="202" t="s">
        <v>845</v>
      </c>
      <c r="H157" s="202" t="s">
        <v>845</v>
      </c>
      <c r="I157" s="202" t="s">
        <v>845</v>
      </c>
      <c r="J157" s="202" t="s">
        <v>845</v>
      </c>
      <c r="K157" s="247"/>
    </row>
    <row r="158" spans="1:11" s="5" customFormat="1" x14ac:dyDescent="0.2">
      <c r="A158" s="99">
        <v>4009</v>
      </c>
      <c r="B158" s="100"/>
      <c r="C158" s="101" t="s">
        <v>605</v>
      </c>
      <c r="D158" s="102" t="s">
        <v>606</v>
      </c>
      <c r="E158" s="202" t="s">
        <v>845</v>
      </c>
      <c r="F158" s="202" t="s">
        <v>845</v>
      </c>
      <c r="G158" s="202" t="s">
        <v>845</v>
      </c>
      <c r="H158" s="202" t="s">
        <v>845</v>
      </c>
      <c r="I158" s="202" t="s">
        <v>845</v>
      </c>
      <c r="J158" s="202" t="s">
        <v>845</v>
      </c>
      <c r="K158" s="247"/>
    </row>
    <row r="159" spans="1:11" customFormat="1" x14ac:dyDescent="0.2">
      <c r="A159" s="99"/>
      <c r="B159" s="100"/>
      <c r="C159" s="101"/>
      <c r="D159" s="102" t="s">
        <v>462</v>
      </c>
      <c r="E159" s="31"/>
      <c r="F159" s="31"/>
      <c r="G159" s="86"/>
      <c r="H159" s="31"/>
      <c r="I159" s="31"/>
      <c r="J159" s="31"/>
      <c r="K159" s="247"/>
    </row>
    <row r="160" spans="1:11" s="5" customFormat="1" x14ac:dyDescent="0.2">
      <c r="A160" s="210">
        <v>401</v>
      </c>
      <c r="B160" s="319"/>
      <c r="C160" s="357" t="s">
        <v>607</v>
      </c>
      <c r="D160" s="349" t="s">
        <v>254</v>
      </c>
      <c r="E160" s="33">
        <f>SUM(E161:E164)</f>
        <v>16177329</v>
      </c>
      <c r="F160" s="33">
        <f>SUM(F161:F164)</f>
        <v>1602246</v>
      </c>
      <c r="G160" s="33">
        <f>SUM(G161:G164)</f>
        <v>280763</v>
      </c>
      <c r="H160" s="33">
        <f>SUM(H161:H164)</f>
        <v>347212</v>
      </c>
      <c r="I160" s="33">
        <f>SUM(I161:I164)</f>
        <v>18407550</v>
      </c>
      <c r="J160" s="33">
        <f>E160+F160+G160+H160-I160</f>
        <v>0</v>
      </c>
      <c r="K160" s="261"/>
    </row>
    <row r="161" spans="1:11" s="5" customFormat="1" x14ac:dyDescent="0.2">
      <c r="A161" s="210">
        <v>4010</v>
      </c>
      <c r="B161" s="319"/>
      <c r="C161" s="357" t="s">
        <v>608</v>
      </c>
      <c r="D161" s="349" t="s">
        <v>609</v>
      </c>
      <c r="E161" s="33">
        <v>9804268</v>
      </c>
      <c r="F161" s="33">
        <v>1009415</v>
      </c>
      <c r="G161" s="33">
        <v>160537</v>
      </c>
      <c r="H161" s="33">
        <v>193260</v>
      </c>
      <c r="I161" s="33">
        <f>E161+F161+G161+H161</f>
        <v>11167480</v>
      </c>
      <c r="J161" s="33">
        <f>E161+F161+G161+H161-I161</f>
        <v>0</v>
      </c>
      <c r="K161" s="251"/>
    </row>
    <row r="162" spans="1:11" s="5" customFormat="1" x14ac:dyDescent="0.2">
      <c r="A162" s="210">
        <v>4011</v>
      </c>
      <c r="B162" s="319"/>
      <c r="C162" s="357" t="s">
        <v>613</v>
      </c>
      <c r="D162" s="349" t="s">
        <v>614</v>
      </c>
      <c r="E162" s="33">
        <v>6228414</v>
      </c>
      <c r="F162" s="33">
        <v>573604</v>
      </c>
      <c r="G162" s="33">
        <f>117236+200+68</f>
        <v>117504</v>
      </c>
      <c r="H162" s="33">
        <v>150458</v>
      </c>
      <c r="I162" s="33">
        <f>E162+F162+G162+H162</f>
        <v>7069980</v>
      </c>
      <c r="J162" s="33">
        <f>E162+F162+G162+H162-I162</f>
        <v>0</v>
      </c>
      <c r="K162" s="251"/>
    </row>
    <row r="163" spans="1:11" s="5" customFormat="1" x14ac:dyDescent="0.2">
      <c r="A163" s="210">
        <v>4012</v>
      </c>
      <c r="B163" s="319"/>
      <c r="C163" s="357" t="s">
        <v>615</v>
      </c>
      <c r="D163" s="349" t="s">
        <v>616</v>
      </c>
      <c r="E163" s="33">
        <v>54250</v>
      </c>
      <c r="F163" s="33">
        <v>8812</v>
      </c>
      <c r="G163" s="33">
        <v>1020</v>
      </c>
      <c r="H163" s="33">
        <v>1310</v>
      </c>
      <c r="I163" s="33">
        <f>E163+F163+G163+H163</f>
        <v>65392</v>
      </c>
      <c r="J163" s="33">
        <f>E163+F163+G163+H163-I163</f>
        <v>0</v>
      </c>
      <c r="K163" s="251"/>
    </row>
    <row r="164" spans="1:11" s="5" customFormat="1" x14ac:dyDescent="0.2">
      <c r="A164" s="210">
        <v>4013</v>
      </c>
      <c r="B164" s="319"/>
      <c r="C164" s="357" t="s">
        <v>617</v>
      </c>
      <c r="D164" s="349" t="s">
        <v>618</v>
      </c>
      <c r="E164" s="33">
        <v>90397</v>
      </c>
      <c r="F164" s="33">
        <v>10415</v>
      </c>
      <c r="G164" s="33">
        <v>1702</v>
      </c>
      <c r="H164" s="33">
        <v>2184</v>
      </c>
      <c r="I164" s="33">
        <f>E164+F164+G164+H164</f>
        <v>104698</v>
      </c>
      <c r="J164" s="33">
        <f>E164+F164+G164+H164-I164</f>
        <v>0</v>
      </c>
      <c r="K164" s="251"/>
    </row>
    <row r="165" spans="1:11" customFormat="1" x14ac:dyDescent="0.2">
      <c r="A165" s="99"/>
      <c r="B165" s="100"/>
      <c r="C165" s="101"/>
      <c r="D165" s="102" t="s">
        <v>462</v>
      </c>
      <c r="E165" s="31"/>
      <c r="F165" s="31"/>
      <c r="G165" s="31"/>
      <c r="H165" s="31"/>
      <c r="I165" s="31"/>
      <c r="J165" s="31"/>
      <c r="K165" s="248"/>
    </row>
    <row r="166" spans="1:11" s="5" customFormat="1" x14ac:dyDescent="0.2">
      <c r="A166" s="99">
        <v>402</v>
      </c>
      <c r="B166" s="100"/>
      <c r="C166" s="101" t="s">
        <v>619</v>
      </c>
      <c r="D166" s="102" t="s">
        <v>620</v>
      </c>
      <c r="E166" s="31">
        <f>SUM(E167:E176)</f>
        <v>97437137</v>
      </c>
      <c r="F166" s="31">
        <v>19308503</v>
      </c>
      <c r="G166" s="31">
        <v>4858421</v>
      </c>
      <c r="H166" s="31">
        <v>3160869</v>
      </c>
      <c r="I166" s="31">
        <f>SUM(I167:I176)</f>
        <v>0</v>
      </c>
      <c r="J166" s="31">
        <f>E166+F166+G166+H166-I166</f>
        <v>124764930</v>
      </c>
      <c r="K166" s="247">
        <f>J166/J$142*100</f>
        <v>3.4734111915367483</v>
      </c>
    </row>
    <row r="167" spans="1:11" s="5" customFormat="1" x14ac:dyDescent="0.2">
      <c r="A167" s="99">
        <v>4020</v>
      </c>
      <c r="B167" s="100"/>
      <c r="C167" s="101" t="s">
        <v>937</v>
      </c>
      <c r="D167" s="102" t="s">
        <v>938</v>
      </c>
      <c r="E167" s="31">
        <v>13667308</v>
      </c>
      <c r="F167" s="202" t="s">
        <v>845</v>
      </c>
      <c r="G167" s="202" t="s">
        <v>845</v>
      </c>
      <c r="H167" s="202" t="s">
        <v>845</v>
      </c>
      <c r="I167" s="202" t="s">
        <v>845</v>
      </c>
      <c r="J167" s="202" t="s">
        <v>845</v>
      </c>
      <c r="K167" s="404"/>
    </row>
    <row r="168" spans="1:11" s="5" customFormat="1" x14ac:dyDescent="0.2">
      <c r="A168" s="99">
        <v>4021</v>
      </c>
      <c r="B168" s="100"/>
      <c r="C168" s="101" t="s">
        <v>939</v>
      </c>
      <c r="D168" s="102" t="s">
        <v>940</v>
      </c>
      <c r="E168" s="31">
        <v>17066826</v>
      </c>
      <c r="F168" s="202" t="s">
        <v>845</v>
      </c>
      <c r="G168" s="202" t="s">
        <v>845</v>
      </c>
      <c r="H168" s="202" t="s">
        <v>845</v>
      </c>
      <c r="I168" s="202" t="s">
        <v>845</v>
      </c>
      <c r="J168" s="202" t="s">
        <v>845</v>
      </c>
      <c r="K168" s="404"/>
    </row>
    <row r="169" spans="1:11" s="5" customFormat="1" x14ac:dyDescent="0.2">
      <c r="A169" s="99">
        <v>4022</v>
      </c>
      <c r="B169" s="100"/>
      <c r="C169" s="101" t="s">
        <v>941</v>
      </c>
      <c r="D169" s="102" t="s">
        <v>942</v>
      </c>
      <c r="E169" s="31">
        <v>6587214</v>
      </c>
      <c r="F169" s="202" t="s">
        <v>845</v>
      </c>
      <c r="G169" s="202" t="s">
        <v>845</v>
      </c>
      <c r="H169" s="202" t="s">
        <v>845</v>
      </c>
      <c r="I169" s="202" t="s">
        <v>845</v>
      </c>
      <c r="J169" s="202" t="s">
        <v>845</v>
      </c>
      <c r="K169" s="404"/>
    </row>
    <row r="170" spans="1:11" s="5" customFormat="1" x14ac:dyDescent="0.2">
      <c r="A170" s="99">
        <v>4023</v>
      </c>
      <c r="B170" s="100"/>
      <c r="C170" s="101" t="s">
        <v>943</v>
      </c>
      <c r="D170" s="102" t="s">
        <v>944</v>
      </c>
      <c r="E170" s="31">
        <v>3254387</v>
      </c>
      <c r="F170" s="202" t="s">
        <v>845</v>
      </c>
      <c r="G170" s="202" t="s">
        <v>845</v>
      </c>
      <c r="H170" s="202" t="s">
        <v>845</v>
      </c>
      <c r="I170" s="202" t="s">
        <v>845</v>
      </c>
      <c r="J170" s="202" t="s">
        <v>845</v>
      </c>
      <c r="K170" s="404"/>
    </row>
    <row r="171" spans="1:11" s="5" customFormat="1" x14ac:dyDescent="0.2">
      <c r="A171" s="99">
        <v>4024</v>
      </c>
      <c r="B171" s="100"/>
      <c r="C171" s="101" t="s">
        <v>945</v>
      </c>
      <c r="D171" s="102" t="s">
        <v>946</v>
      </c>
      <c r="E171" s="31">
        <v>3669523</v>
      </c>
      <c r="F171" s="202" t="s">
        <v>845</v>
      </c>
      <c r="G171" s="202" t="s">
        <v>845</v>
      </c>
      <c r="H171" s="202" t="s">
        <v>845</v>
      </c>
      <c r="I171" s="202" t="s">
        <v>845</v>
      </c>
      <c r="J171" s="202" t="s">
        <v>845</v>
      </c>
      <c r="K171" s="404"/>
    </row>
    <row r="172" spans="1:11" s="5" customFormat="1" x14ac:dyDescent="0.2">
      <c r="A172" s="99">
        <v>4025</v>
      </c>
      <c r="B172" s="100"/>
      <c r="C172" s="101" t="s">
        <v>947</v>
      </c>
      <c r="D172" s="102" t="s">
        <v>948</v>
      </c>
      <c r="E172" s="31">
        <v>19828300</v>
      </c>
      <c r="F172" s="202" t="s">
        <v>845</v>
      </c>
      <c r="G172" s="202" t="s">
        <v>845</v>
      </c>
      <c r="H172" s="202" t="s">
        <v>845</v>
      </c>
      <c r="I172" s="202" t="s">
        <v>845</v>
      </c>
      <c r="J172" s="202" t="s">
        <v>845</v>
      </c>
      <c r="K172" s="404"/>
    </row>
    <row r="173" spans="1:11" s="5" customFormat="1" x14ac:dyDescent="0.2">
      <c r="A173" s="99">
        <v>4026</v>
      </c>
      <c r="B173" s="100"/>
      <c r="C173" s="101" t="s">
        <v>949</v>
      </c>
      <c r="D173" s="102" t="s">
        <v>950</v>
      </c>
      <c r="E173" s="31">
        <v>7370161</v>
      </c>
      <c r="F173" s="202" t="s">
        <v>845</v>
      </c>
      <c r="G173" s="202" t="s">
        <v>845</v>
      </c>
      <c r="H173" s="202" t="s">
        <v>845</v>
      </c>
      <c r="I173" s="202" t="s">
        <v>845</v>
      </c>
      <c r="J173" s="202" t="s">
        <v>845</v>
      </c>
      <c r="K173" s="404"/>
    </row>
    <row r="174" spans="1:11" s="5" customFormat="1" x14ac:dyDescent="0.2">
      <c r="A174" s="99">
        <v>4027</v>
      </c>
      <c r="B174" s="100"/>
      <c r="C174" s="101" t="s">
        <v>951</v>
      </c>
      <c r="D174" s="102" t="s">
        <v>952</v>
      </c>
      <c r="E174" s="31">
        <v>2477507</v>
      </c>
      <c r="F174" s="202" t="s">
        <v>845</v>
      </c>
      <c r="G174" s="202" t="s">
        <v>845</v>
      </c>
      <c r="H174" s="202" t="s">
        <v>845</v>
      </c>
      <c r="I174" s="202" t="s">
        <v>845</v>
      </c>
      <c r="J174" s="202" t="s">
        <v>845</v>
      </c>
      <c r="K174" s="404"/>
    </row>
    <row r="175" spans="1:11" s="5" customFormat="1" x14ac:dyDescent="0.2">
      <c r="A175" s="99">
        <v>4029</v>
      </c>
      <c r="B175" s="100"/>
      <c r="C175" s="101" t="s">
        <v>953</v>
      </c>
      <c r="D175" s="102" t="s">
        <v>954</v>
      </c>
      <c r="E175" s="31">
        <v>23515911</v>
      </c>
      <c r="F175" s="202" t="s">
        <v>845</v>
      </c>
      <c r="G175" s="202" t="s">
        <v>845</v>
      </c>
      <c r="H175" s="202" t="s">
        <v>845</v>
      </c>
      <c r="I175" s="202" t="s">
        <v>845</v>
      </c>
      <c r="J175" s="202" t="s">
        <v>845</v>
      </c>
      <c r="K175" s="404"/>
    </row>
    <row r="176" spans="1:11" s="5" customFormat="1" x14ac:dyDescent="0.2">
      <c r="A176" s="210">
        <v>402934</v>
      </c>
      <c r="B176" s="319"/>
      <c r="C176" s="357" t="s">
        <v>955</v>
      </c>
      <c r="D176" s="349" t="s">
        <v>956</v>
      </c>
      <c r="E176" s="33">
        <v>0</v>
      </c>
      <c r="F176" s="33"/>
      <c r="G176" s="33">
        <v>0</v>
      </c>
      <c r="H176" s="33"/>
      <c r="I176" s="33">
        <v>0</v>
      </c>
      <c r="J176" s="33"/>
      <c r="K176" s="251"/>
    </row>
    <row r="177" spans="1:11" customFormat="1" x14ac:dyDescent="0.2">
      <c r="A177" s="99"/>
      <c r="B177" s="100"/>
      <c r="C177" s="101"/>
      <c r="D177" s="102" t="s">
        <v>462</v>
      </c>
      <c r="E177" s="31"/>
      <c r="F177" s="31"/>
      <c r="G177" s="31"/>
      <c r="H177" s="31"/>
      <c r="I177" s="31"/>
      <c r="J177" s="31"/>
      <c r="K177" s="248"/>
    </row>
    <row r="178" spans="1:11" s="5" customFormat="1" x14ac:dyDescent="0.2">
      <c r="A178" s="99">
        <v>403</v>
      </c>
      <c r="B178" s="100"/>
      <c r="C178" s="101" t="s">
        <v>957</v>
      </c>
      <c r="D178" s="102" t="s">
        <v>958</v>
      </c>
      <c r="E178" s="31">
        <f>SUM(E179:E183)</f>
        <v>32981493</v>
      </c>
      <c r="F178" s="31">
        <f>SUM(F179:F183)</f>
        <v>500000</v>
      </c>
      <c r="G178" s="31">
        <f>SUM(G179:G183)</f>
        <v>50000</v>
      </c>
      <c r="H178" s="31">
        <f>SUM(H179:H183)</f>
        <v>0</v>
      </c>
      <c r="I178" s="31">
        <f>SUM(I179:I183)</f>
        <v>0</v>
      </c>
      <c r="J178" s="31">
        <f>E178+F178+G178+H178-I178</f>
        <v>33531493</v>
      </c>
      <c r="K178" s="247">
        <f t="shared" ref="K178:K183" si="12">J178/J$142*100</f>
        <v>0.9335048162583518</v>
      </c>
    </row>
    <row r="179" spans="1:11" s="5" customFormat="1" x14ac:dyDescent="0.2">
      <c r="A179" s="99">
        <v>4030</v>
      </c>
      <c r="B179" s="100"/>
      <c r="C179" s="101" t="s">
        <v>959</v>
      </c>
      <c r="D179" s="102" t="s">
        <v>960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f>E179+F179+G179+H179</f>
        <v>0</v>
      </c>
      <c r="K179" s="247">
        <f t="shared" si="12"/>
        <v>0</v>
      </c>
    </row>
    <row r="180" spans="1:11" s="5" customFormat="1" x14ac:dyDescent="0.2">
      <c r="A180" s="99">
        <v>4031</v>
      </c>
      <c r="B180" s="100"/>
      <c r="C180" s="101" t="s">
        <v>961</v>
      </c>
      <c r="D180" s="102" t="s">
        <v>962</v>
      </c>
      <c r="E180" s="31">
        <v>4505085</v>
      </c>
      <c r="F180" s="31">
        <v>500000</v>
      </c>
      <c r="G180" s="31">
        <v>50000</v>
      </c>
      <c r="H180" s="31">
        <v>0</v>
      </c>
      <c r="I180" s="31">
        <v>0</v>
      </c>
      <c r="J180" s="31">
        <f>E180+F180+G180+H180</f>
        <v>5055085</v>
      </c>
      <c r="K180" s="247">
        <f t="shared" si="12"/>
        <v>0.14073176503340759</v>
      </c>
    </row>
    <row r="181" spans="1:11" s="5" customFormat="1" x14ac:dyDescent="0.2">
      <c r="A181" s="99">
        <v>4032</v>
      </c>
      <c r="B181" s="100"/>
      <c r="C181" s="101" t="s">
        <v>963</v>
      </c>
      <c r="D181" s="102" t="s">
        <v>964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f>E181+F181+G181+H181</f>
        <v>0</v>
      </c>
      <c r="K181" s="247">
        <f t="shared" si="12"/>
        <v>0</v>
      </c>
    </row>
    <row r="182" spans="1:11" s="5" customFormat="1" x14ac:dyDescent="0.2">
      <c r="A182" s="99">
        <v>4033</v>
      </c>
      <c r="B182" s="100"/>
      <c r="C182" s="101" t="s">
        <v>965</v>
      </c>
      <c r="D182" s="102" t="s">
        <v>966</v>
      </c>
      <c r="E182" s="31">
        <v>207737</v>
      </c>
      <c r="F182" s="31">
        <v>0</v>
      </c>
      <c r="G182" s="31">
        <v>0</v>
      </c>
      <c r="H182" s="31">
        <v>0</v>
      </c>
      <c r="I182" s="31">
        <v>0</v>
      </c>
      <c r="J182" s="31">
        <f>E182+F182+G182+H182</f>
        <v>207737</v>
      </c>
      <c r="K182" s="247">
        <f t="shared" si="12"/>
        <v>5.7833240534521163E-3</v>
      </c>
    </row>
    <row r="183" spans="1:11" s="5" customFormat="1" x14ac:dyDescent="0.2">
      <c r="A183" s="99">
        <v>4034</v>
      </c>
      <c r="B183" s="100"/>
      <c r="C183" s="101" t="s">
        <v>967</v>
      </c>
      <c r="D183" s="102" t="s">
        <v>968</v>
      </c>
      <c r="E183" s="31">
        <v>28268671</v>
      </c>
      <c r="F183" s="31">
        <v>0</v>
      </c>
      <c r="G183" s="31">
        <v>0</v>
      </c>
      <c r="H183" s="31">
        <v>0</v>
      </c>
      <c r="I183" s="31">
        <v>0</v>
      </c>
      <c r="J183" s="31">
        <f>E183+F183+G183+H183</f>
        <v>28268671</v>
      </c>
      <c r="K183" s="247">
        <f t="shared" si="12"/>
        <v>0.78698972717149218</v>
      </c>
    </row>
    <row r="184" spans="1:11" customFormat="1" x14ac:dyDescent="0.2">
      <c r="A184" s="99"/>
      <c r="B184" s="100"/>
      <c r="C184" s="101"/>
      <c r="D184" s="102" t="s">
        <v>462</v>
      </c>
      <c r="E184" s="31"/>
      <c r="F184" s="31"/>
      <c r="G184" s="31"/>
      <c r="H184" s="31"/>
      <c r="I184" s="31"/>
      <c r="J184" s="31"/>
      <c r="K184" s="248"/>
    </row>
    <row r="185" spans="1:11" s="5" customFormat="1" x14ac:dyDescent="0.2">
      <c r="A185" s="99">
        <v>404</v>
      </c>
      <c r="B185" s="100"/>
      <c r="C185" s="101" t="s">
        <v>969</v>
      </c>
      <c r="D185" s="102" t="s">
        <v>970</v>
      </c>
      <c r="E185" s="31">
        <f>SUM(E186:E189)</f>
        <v>22670518</v>
      </c>
      <c r="F185" s="31">
        <f>SUM(F186:F189)</f>
        <v>0</v>
      </c>
      <c r="G185" s="31">
        <f>SUM(G186:G189)</f>
        <v>0</v>
      </c>
      <c r="H185" s="31">
        <f>SUM(H186:H189)</f>
        <v>0</v>
      </c>
      <c r="I185" s="31">
        <f>SUM(I186:I189)</f>
        <v>0</v>
      </c>
      <c r="J185" s="31">
        <f>E185+F185+G185+H185-I185</f>
        <v>22670518</v>
      </c>
      <c r="K185" s="247">
        <f>J185/J$142*100</f>
        <v>0.63113914253897552</v>
      </c>
    </row>
    <row r="186" spans="1:11" s="5" customFormat="1" x14ac:dyDescent="0.2">
      <c r="A186" s="99">
        <v>4040</v>
      </c>
      <c r="B186" s="100"/>
      <c r="C186" s="101" t="s">
        <v>971</v>
      </c>
      <c r="D186" s="102" t="s">
        <v>972</v>
      </c>
      <c r="E186" s="31">
        <v>4093451</v>
      </c>
      <c r="F186" s="31">
        <v>0</v>
      </c>
      <c r="G186" s="31">
        <v>0</v>
      </c>
      <c r="H186" s="31">
        <v>0</v>
      </c>
      <c r="I186" s="31">
        <v>0</v>
      </c>
      <c r="J186" s="31">
        <f>E186+F186+G186+H186</f>
        <v>4093451</v>
      </c>
      <c r="K186" s="247">
        <f>J186/J$142*100</f>
        <v>0.1139602171492205</v>
      </c>
    </row>
    <row r="187" spans="1:11" s="5" customFormat="1" x14ac:dyDescent="0.2">
      <c r="A187" s="99">
        <v>4041</v>
      </c>
      <c r="B187" s="100"/>
      <c r="C187" s="101" t="s">
        <v>973</v>
      </c>
      <c r="D187" s="102" t="s">
        <v>974</v>
      </c>
      <c r="E187" s="31">
        <v>403569</v>
      </c>
      <c r="F187" s="31">
        <v>0</v>
      </c>
      <c r="G187" s="31">
        <v>0</v>
      </c>
      <c r="H187" s="31">
        <v>0</v>
      </c>
      <c r="I187" s="31">
        <v>0</v>
      </c>
      <c r="J187" s="31">
        <f>E187+F187+G187+H187</f>
        <v>403569</v>
      </c>
      <c r="K187" s="247">
        <f>J187/J$142*100</f>
        <v>1.1235217149220491E-2</v>
      </c>
    </row>
    <row r="188" spans="1:11" s="5" customFormat="1" x14ac:dyDescent="0.2">
      <c r="A188" s="99">
        <v>4042</v>
      </c>
      <c r="B188" s="100"/>
      <c r="C188" s="101" t="s">
        <v>975</v>
      </c>
      <c r="D188" s="102" t="s">
        <v>976</v>
      </c>
      <c r="E188" s="31">
        <v>1788199</v>
      </c>
      <c r="F188" s="31">
        <v>0</v>
      </c>
      <c r="G188" s="31">
        <v>0</v>
      </c>
      <c r="H188" s="31">
        <v>0</v>
      </c>
      <c r="I188" s="31">
        <v>0</v>
      </c>
      <c r="J188" s="31">
        <f>E188+F188+G188+H188</f>
        <v>1788199</v>
      </c>
      <c r="K188" s="247">
        <f>J188/J$142*100</f>
        <v>4.9782822939866363E-2</v>
      </c>
    </row>
    <row r="189" spans="1:11" s="5" customFormat="1" x14ac:dyDescent="0.2">
      <c r="A189" s="99">
        <v>4043</v>
      </c>
      <c r="B189" s="100"/>
      <c r="C189" s="101" t="s">
        <v>977</v>
      </c>
      <c r="D189" s="102" t="s">
        <v>978</v>
      </c>
      <c r="E189" s="31">
        <v>16385299</v>
      </c>
      <c r="F189" s="31">
        <v>0</v>
      </c>
      <c r="G189" s="31">
        <v>0</v>
      </c>
      <c r="H189" s="31">
        <v>0</v>
      </c>
      <c r="I189" s="31">
        <v>0</v>
      </c>
      <c r="J189" s="31">
        <f>E189+F189+G189+H189</f>
        <v>16385299</v>
      </c>
      <c r="K189" s="247">
        <f>J189/J$142*100</f>
        <v>0.45616088530066817</v>
      </c>
    </row>
    <row r="190" spans="1:11" customFormat="1" x14ac:dyDescent="0.2">
      <c r="A190" s="99"/>
      <c r="B190" s="100"/>
      <c r="C190" s="101"/>
      <c r="D190" s="102" t="s">
        <v>462</v>
      </c>
      <c r="E190" s="31"/>
      <c r="F190" s="31"/>
      <c r="G190" s="31"/>
      <c r="H190" s="31"/>
      <c r="I190" s="31"/>
      <c r="J190" s="31"/>
      <c r="K190" s="248"/>
    </row>
    <row r="191" spans="1:11" s="5" customFormat="1" x14ac:dyDescent="0.2">
      <c r="A191" s="99">
        <v>409</v>
      </c>
      <c r="B191" s="100"/>
      <c r="C191" s="101" t="s">
        <v>979</v>
      </c>
      <c r="D191" s="102" t="s">
        <v>980</v>
      </c>
      <c r="E191" s="31">
        <f>E192+E193+E194</f>
        <v>9176113</v>
      </c>
      <c r="F191" s="31">
        <f>F192+F193+F194</f>
        <v>1271755</v>
      </c>
      <c r="G191" s="31">
        <f>G192+G193+G194</f>
        <v>0</v>
      </c>
      <c r="H191" s="31">
        <f>H192+H193+H194</f>
        <v>0</v>
      </c>
      <c r="I191" s="31">
        <f>I192+I193+I194</f>
        <v>0</v>
      </c>
      <c r="J191" s="31">
        <f>E191+F191+G191+H191-I191</f>
        <v>10447868</v>
      </c>
      <c r="K191" s="247">
        <f>J191/J$142*100</f>
        <v>0.29086492204899778</v>
      </c>
    </row>
    <row r="192" spans="1:11" s="5" customFormat="1" x14ac:dyDescent="0.2">
      <c r="A192" s="99">
        <v>4090</v>
      </c>
      <c r="B192" s="100"/>
      <c r="C192" s="101" t="s">
        <v>981</v>
      </c>
      <c r="D192" s="102" t="s">
        <v>982</v>
      </c>
      <c r="E192" s="31">
        <v>2676113</v>
      </c>
      <c r="F192" s="31">
        <f>1136178+135577</f>
        <v>1271755</v>
      </c>
      <c r="G192" s="31">
        <v>0</v>
      </c>
      <c r="H192" s="31">
        <v>0</v>
      </c>
      <c r="I192" s="31">
        <v>0</v>
      </c>
      <c r="J192" s="31">
        <f>E192+F192+G192+H192</f>
        <v>3947868</v>
      </c>
      <c r="K192" s="247">
        <f>J192/J$142*100</f>
        <v>0.10990723830734968</v>
      </c>
    </row>
    <row r="193" spans="1:11" s="5" customFormat="1" x14ac:dyDescent="0.2">
      <c r="A193" s="99">
        <v>4091</v>
      </c>
      <c r="B193" s="100"/>
      <c r="C193" s="101" t="s">
        <v>983</v>
      </c>
      <c r="D193" s="102" t="s">
        <v>984</v>
      </c>
      <c r="E193" s="31">
        <v>6500000</v>
      </c>
      <c r="F193" s="31">
        <v>0</v>
      </c>
      <c r="G193" s="31">
        <v>0</v>
      </c>
      <c r="H193" s="31">
        <v>0</v>
      </c>
      <c r="I193" s="31">
        <v>0</v>
      </c>
      <c r="J193" s="31">
        <f>E193+F193+G193+H193</f>
        <v>6500000</v>
      </c>
      <c r="K193" s="247">
        <f>J193/J$142*100</f>
        <v>0.18095768374164811</v>
      </c>
    </row>
    <row r="194" spans="1:11" s="5" customFormat="1" x14ac:dyDescent="0.2">
      <c r="A194" s="99">
        <v>4092</v>
      </c>
      <c r="B194" s="100"/>
      <c r="C194" s="101" t="s">
        <v>985</v>
      </c>
      <c r="D194" s="102" t="s">
        <v>986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0</v>
      </c>
      <c r="K194" s="247">
        <f>J194/J$142*100</f>
        <v>0</v>
      </c>
    </row>
    <row r="195" spans="1:11" customFormat="1" x14ac:dyDescent="0.2">
      <c r="A195" s="99"/>
      <c r="B195" s="100"/>
      <c r="C195" s="101"/>
      <c r="D195" s="102" t="s">
        <v>462</v>
      </c>
      <c r="E195" s="31"/>
      <c r="F195" s="31"/>
      <c r="G195" s="31"/>
      <c r="H195" s="31"/>
      <c r="I195" s="31"/>
      <c r="J195" s="31"/>
      <c r="K195" s="248"/>
    </row>
    <row r="196" spans="1:11" s="6" customFormat="1" ht="15.75" x14ac:dyDescent="0.25">
      <c r="A196" s="88">
        <v>41</v>
      </c>
      <c r="B196" s="89"/>
      <c r="C196" s="90" t="s">
        <v>987</v>
      </c>
      <c r="D196" s="91" t="s">
        <v>988</v>
      </c>
      <c r="E196" s="32">
        <f>E199+E204+E215+E219+E232</f>
        <v>566258355</v>
      </c>
      <c r="F196" s="32">
        <f>F199+F204+F215+F219+F232</f>
        <v>86964526</v>
      </c>
      <c r="G196" s="32">
        <f>G199+G204+G215+G219+G232</f>
        <v>520526398</v>
      </c>
      <c r="H196" s="32">
        <f>H199+H204+H215+H219+H232</f>
        <v>227805363</v>
      </c>
      <c r="I196" s="32">
        <f>I199+I204+I215+I219+I232</f>
        <v>270035748</v>
      </c>
      <c r="J196" s="32">
        <f>E196+F196+G196+H196-I196</f>
        <v>1131518894</v>
      </c>
      <c r="K196" s="245">
        <f>J196/J$142*100</f>
        <v>31.501082795100221</v>
      </c>
    </row>
    <row r="197" spans="1:11" customFormat="1" x14ac:dyDescent="0.2">
      <c r="A197" s="99"/>
      <c r="B197" s="100"/>
      <c r="C197" s="101" t="s">
        <v>989</v>
      </c>
      <c r="D197" s="102" t="s">
        <v>989</v>
      </c>
      <c r="E197" s="31"/>
      <c r="F197" s="31"/>
      <c r="G197" s="31"/>
      <c r="H197" s="31"/>
      <c r="I197" s="31"/>
      <c r="J197" s="31"/>
      <c r="K197" s="248"/>
    </row>
    <row r="198" spans="1:11" customFormat="1" x14ac:dyDescent="0.2">
      <c r="A198" s="99"/>
      <c r="B198" s="100"/>
      <c r="C198" s="101"/>
      <c r="D198" s="102"/>
      <c r="E198" s="31"/>
      <c r="F198" s="31"/>
      <c r="G198" s="31"/>
      <c r="H198" s="31"/>
      <c r="I198" s="31"/>
      <c r="J198" s="31"/>
      <c r="K198" s="248"/>
    </row>
    <row r="199" spans="1:11" s="5" customFormat="1" x14ac:dyDescent="0.2">
      <c r="A199" s="99">
        <v>410</v>
      </c>
      <c r="B199" s="100"/>
      <c r="C199" s="101" t="s">
        <v>990</v>
      </c>
      <c r="D199" s="102" t="s">
        <v>991</v>
      </c>
      <c r="E199" s="31">
        <f>E200+E201+E202</f>
        <v>52369402</v>
      </c>
      <c r="F199" s="31">
        <f>F200+F201+F202</f>
        <v>4616658</v>
      </c>
      <c r="G199" s="31">
        <f>G200+G201+G202</f>
        <v>0</v>
      </c>
      <c r="H199" s="31">
        <f>H200+H201+H202</f>
        <v>0</v>
      </c>
      <c r="I199" s="31">
        <f>I200+I201+I202</f>
        <v>0</v>
      </c>
      <c r="J199" s="31">
        <f>E199+F199+G199+H199-I199</f>
        <v>56986060</v>
      </c>
      <c r="K199" s="247">
        <f>J199/J$142*100</f>
        <v>1.5864716035634743</v>
      </c>
    </row>
    <row r="200" spans="1:11" s="5" customFormat="1" x14ac:dyDescent="0.2">
      <c r="A200" s="99">
        <v>4100</v>
      </c>
      <c r="B200" s="100"/>
      <c r="C200" s="101" t="s">
        <v>992</v>
      </c>
      <c r="D200" s="102" t="s">
        <v>993</v>
      </c>
      <c r="E200" s="31">
        <v>18853336</v>
      </c>
      <c r="F200" s="31">
        <v>0</v>
      </c>
      <c r="G200" s="31">
        <v>0</v>
      </c>
      <c r="H200" s="31">
        <v>0</v>
      </c>
      <c r="I200" s="31">
        <v>0</v>
      </c>
      <c r="J200" s="31">
        <f>E200+F200+G200+H200</f>
        <v>18853336</v>
      </c>
      <c r="K200" s="247">
        <f>J200/J$142*100</f>
        <v>0.52487015590200448</v>
      </c>
    </row>
    <row r="201" spans="1:11" s="5" customFormat="1" x14ac:dyDescent="0.2">
      <c r="A201" s="99">
        <v>4101</v>
      </c>
      <c r="B201" s="100"/>
      <c r="C201" s="101" t="s">
        <v>994</v>
      </c>
      <c r="D201" s="102" t="s">
        <v>995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f>E201+F201+G201+H201</f>
        <v>0</v>
      </c>
      <c r="K201" s="247">
        <f>J201/J$142*100</f>
        <v>0</v>
      </c>
    </row>
    <row r="202" spans="1:11" s="5" customFormat="1" x14ac:dyDescent="0.2">
      <c r="A202" s="99">
        <v>4102</v>
      </c>
      <c r="B202" s="100"/>
      <c r="C202" s="101" t="s">
        <v>996</v>
      </c>
      <c r="D202" s="102" t="s">
        <v>997</v>
      </c>
      <c r="E202" s="31">
        <v>33516066</v>
      </c>
      <c r="F202" s="31">
        <v>4616658</v>
      </c>
      <c r="G202" s="31">
        <v>0</v>
      </c>
      <c r="H202" s="31">
        <v>0</v>
      </c>
      <c r="I202" s="31">
        <v>0</v>
      </c>
      <c r="J202" s="31">
        <f>E202+F202+G202+H202</f>
        <v>38132724</v>
      </c>
      <c r="K202" s="247">
        <f>J202/J$142*100</f>
        <v>1.0616014476614699</v>
      </c>
    </row>
    <row r="203" spans="1:11" customFormat="1" x14ac:dyDescent="0.2">
      <c r="A203" s="99"/>
      <c r="B203" s="100"/>
      <c r="C203" s="101"/>
      <c r="D203" s="102"/>
      <c r="E203" s="31"/>
      <c r="F203" s="31"/>
      <c r="G203" s="31"/>
      <c r="H203" s="31"/>
      <c r="I203" s="86"/>
      <c r="J203" s="31"/>
      <c r="K203" s="248"/>
    </row>
    <row r="204" spans="1:11" s="5" customFormat="1" x14ac:dyDescent="0.2">
      <c r="A204" s="99">
        <v>411</v>
      </c>
      <c r="B204" s="100"/>
      <c r="C204" s="101" t="s">
        <v>998</v>
      </c>
      <c r="D204" s="102" t="s">
        <v>999</v>
      </c>
      <c r="E204" s="31">
        <f>SUM(E205:E213)</f>
        <v>139132768</v>
      </c>
      <c r="F204" s="31">
        <f>SUM(F205:F213)</f>
        <v>8822417</v>
      </c>
      <c r="G204" s="31">
        <f>SUM(G205:G213)</f>
        <v>480955998</v>
      </c>
      <c r="H204" s="31">
        <f>SUM(H205:H213)</f>
        <v>25037421</v>
      </c>
      <c r="I204" s="31">
        <f>SUM(I205:I213)</f>
        <v>9416969</v>
      </c>
      <c r="J204" s="31">
        <f>E204+F204+G204+H204-I204</f>
        <v>644531635</v>
      </c>
      <c r="K204" s="247">
        <f t="shared" ref="K204:K213" si="13">J204/J$142*100</f>
        <v>17.943531041202672</v>
      </c>
    </row>
    <row r="205" spans="1:11" s="5" customFormat="1" x14ac:dyDescent="0.2">
      <c r="A205" s="99">
        <v>4110</v>
      </c>
      <c r="B205" s="100"/>
      <c r="C205" s="101" t="s">
        <v>1000</v>
      </c>
      <c r="D205" s="102" t="s">
        <v>1001</v>
      </c>
      <c r="E205" s="31">
        <v>24135426</v>
      </c>
      <c r="F205" s="31">
        <v>43067</v>
      </c>
      <c r="G205" s="31">
        <v>0</v>
      </c>
      <c r="H205" s="31">
        <v>0</v>
      </c>
      <c r="I205" s="44">
        <f>H135+H136+6075233-700000</f>
        <v>9416969</v>
      </c>
      <c r="J205" s="33">
        <f>E205+F205+G205+H205-I205</f>
        <v>14761524</v>
      </c>
      <c r="K205" s="261">
        <f t="shared" si="13"/>
        <v>0.4109555679287305</v>
      </c>
    </row>
    <row r="206" spans="1:11" s="5" customFormat="1" x14ac:dyDescent="0.2">
      <c r="A206" s="99">
        <v>4111</v>
      </c>
      <c r="B206" s="100"/>
      <c r="C206" s="101" t="s">
        <v>1002</v>
      </c>
      <c r="D206" s="102" t="s">
        <v>1003</v>
      </c>
      <c r="E206" s="31">
        <v>55806816</v>
      </c>
      <c r="F206" s="31">
        <v>2524643</v>
      </c>
      <c r="G206" s="31">
        <v>0</v>
      </c>
      <c r="H206" s="31">
        <v>0</v>
      </c>
      <c r="I206" s="31">
        <v>0</v>
      </c>
      <c r="J206" s="31">
        <f t="shared" ref="J206:J212" si="14">E206+F206+G206+H206</f>
        <v>58331459</v>
      </c>
      <c r="K206" s="247">
        <f t="shared" si="13"/>
        <v>1.6239270322939865</v>
      </c>
    </row>
    <row r="207" spans="1:11" s="5" customFormat="1" x14ac:dyDescent="0.2">
      <c r="A207" s="99">
        <v>4112</v>
      </c>
      <c r="B207" s="100"/>
      <c r="C207" s="101" t="s">
        <v>1004</v>
      </c>
      <c r="D207" s="102" t="s">
        <v>1005</v>
      </c>
      <c r="E207" s="31">
        <v>13850779</v>
      </c>
      <c r="F207" s="31">
        <v>3537175</v>
      </c>
      <c r="G207" s="31">
        <v>21530900</v>
      </c>
      <c r="H207" s="31">
        <v>0</v>
      </c>
      <c r="I207" s="31">
        <v>0</v>
      </c>
      <c r="J207" s="31">
        <f t="shared" si="14"/>
        <v>38918854</v>
      </c>
      <c r="K207" s="247">
        <f t="shared" si="13"/>
        <v>1.0834870267260579</v>
      </c>
    </row>
    <row r="208" spans="1:11" s="5" customFormat="1" x14ac:dyDescent="0.2">
      <c r="A208" s="99">
        <v>4113</v>
      </c>
      <c r="B208" s="100"/>
      <c r="C208" s="101" t="s">
        <v>1006</v>
      </c>
      <c r="D208" s="102" t="s">
        <v>1007</v>
      </c>
      <c r="E208" s="31">
        <v>22151855</v>
      </c>
      <c r="F208" s="31">
        <v>15477</v>
      </c>
      <c r="G208" s="31">
        <v>0</v>
      </c>
      <c r="H208" s="31">
        <v>0</v>
      </c>
      <c r="I208" s="31">
        <v>0</v>
      </c>
      <c r="J208" s="31">
        <f t="shared" si="14"/>
        <v>22167332</v>
      </c>
      <c r="K208" s="247">
        <f t="shared" si="13"/>
        <v>0.61713062360801785</v>
      </c>
    </row>
    <row r="209" spans="1:11" s="5" customFormat="1" x14ac:dyDescent="0.2">
      <c r="A209" s="99">
        <v>4114</v>
      </c>
      <c r="B209" s="100"/>
      <c r="C209" s="101" t="s">
        <v>1008</v>
      </c>
      <c r="D209" s="102" t="s">
        <v>1009</v>
      </c>
      <c r="E209" s="31">
        <v>0</v>
      </c>
      <c r="F209" s="31">
        <v>0</v>
      </c>
      <c r="G209" s="31">
        <v>441845900</v>
      </c>
      <c r="H209" s="31">
        <v>0</v>
      </c>
      <c r="I209" s="31">
        <v>0</v>
      </c>
      <c r="J209" s="31">
        <f t="shared" si="14"/>
        <v>441845900</v>
      </c>
      <c r="K209" s="247">
        <f t="shared" si="13"/>
        <v>12.300832405345211</v>
      </c>
    </row>
    <row r="210" spans="1:11" s="5" customFormat="1" x14ac:dyDescent="0.2">
      <c r="A210" s="99">
        <v>4115</v>
      </c>
      <c r="B210" s="100"/>
      <c r="C210" s="101" t="s">
        <v>1010</v>
      </c>
      <c r="D210" s="102" t="s">
        <v>1011</v>
      </c>
      <c r="E210" s="31">
        <v>15956</v>
      </c>
      <c r="F210" s="31">
        <v>0</v>
      </c>
      <c r="G210" s="31">
        <v>17567200</v>
      </c>
      <c r="H210" s="31">
        <v>0</v>
      </c>
      <c r="I210" s="31">
        <v>0</v>
      </c>
      <c r="J210" s="31">
        <f t="shared" si="14"/>
        <v>17583156</v>
      </c>
      <c r="K210" s="247">
        <f t="shared" si="13"/>
        <v>0.48950879732739416</v>
      </c>
    </row>
    <row r="211" spans="1:11" s="5" customFormat="1" x14ac:dyDescent="0.2">
      <c r="A211" s="99">
        <v>4116</v>
      </c>
      <c r="B211" s="100"/>
      <c r="C211" s="101" t="s">
        <v>1012</v>
      </c>
      <c r="D211" s="102" t="s">
        <v>1013</v>
      </c>
      <c r="E211" s="31">
        <v>0</v>
      </c>
      <c r="F211" s="31">
        <v>0</v>
      </c>
      <c r="G211" s="31">
        <v>0</v>
      </c>
      <c r="H211" s="31">
        <v>22823096</v>
      </c>
      <c r="I211" s="31">
        <v>0</v>
      </c>
      <c r="J211" s="31">
        <f t="shared" si="14"/>
        <v>22823096</v>
      </c>
      <c r="K211" s="247">
        <f t="shared" si="13"/>
        <v>0.63538685968819597</v>
      </c>
    </row>
    <row r="212" spans="1:11" s="5" customFormat="1" x14ac:dyDescent="0.2">
      <c r="A212" s="99">
        <v>4117</v>
      </c>
      <c r="B212" s="100"/>
      <c r="C212" s="101" t="s">
        <v>1014</v>
      </c>
      <c r="D212" s="102" t="s">
        <v>1015</v>
      </c>
      <c r="E212" s="31">
        <v>16227334</v>
      </c>
      <c r="F212" s="31">
        <v>127936</v>
      </c>
      <c r="G212" s="31">
        <v>3584</v>
      </c>
      <c r="H212" s="31">
        <v>0</v>
      </c>
      <c r="I212" s="31">
        <v>0</v>
      </c>
      <c r="J212" s="31">
        <f t="shared" si="14"/>
        <v>16358854</v>
      </c>
      <c r="K212" s="247">
        <f t="shared" si="13"/>
        <v>0.45542466592427616</v>
      </c>
    </row>
    <row r="213" spans="1:11" s="5" customFormat="1" x14ac:dyDescent="0.2">
      <c r="A213" s="99">
        <v>4119</v>
      </c>
      <c r="B213" s="100"/>
      <c r="C213" s="101" t="s">
        <v>1016</v>
      </c>
      <c r="D213" s="102" t="s">
        <v>1017</v>
      </c>
      <c r="E213" s="31">
        <v>6944602</v>
      </c>
      <c r="F213" s="31">
        <v>2574119</v>
      </c>
      <c r="G213" s="31">
        <v>8414</v>
      </c>
      <c r="H213" s="31">
        <v>2214325</v>
      </c>
      <c r="I213" s="31">
        <v>0</v>
      </c>
      <c r="J213" s="31">
        <f>E213+F213+G213+H213-I213</f>
        <v>11741460</v>
      </c>
      <c r="K213" s="247">
        <f t="shared" si="13"/>
        <v>0.3268780623608018</v>
      </c>
    </row>
    <row r="214" spans="1:11" customFormat="1" x14ac:dyDescent="0.2">
      <c r="A214" s="99"/>
      <c r="B214" s="100"/>
      <c r="C214" s="101"/>
      <c r="D214" s="102" t="s">
        <v>462</v>
      </c>
      <c r="E214" s="31"/>
      <c r="F214" s="31"/>
      <c r="G214" s="31"/>
      <c r="H214" s="31"/>
      <c r="I214" s="31"/>
      <c r="J214" s="31"/>
      <c r="K214" s="248"/>
    </row>
    <row r="215" spans="1:11" s="5" customFormat="1" x14ac:dyDescent="0.2">
      <c r="A215" s="99">
        <v>412</v>
      </c>
      <c r="B215" s="100"/>
      <c r="C215" s="101" t="s">
        <v>0</v>
      </c>
      <c r="D215" s="102" t="s">
        <v>1</v>
      </c>
      <c r="E215" s="31">
        <f>E217</f>
        <v>6188894</v>
      </c>
      <c r="F215" s="31">
        <f>F217</f>
        <v>2583653</v>
      </c>
      <c r="G215" s="31">
        <f>G217</f>
        <v>300000</v>
      </c>
      <c r="H215" s="31">
        <f>H217</f>
        <v>0</v>
      </c>
      <c r="I215" s="31">
        <f>I217</f>
        <v>0</v>
      </c>
      <c r="J215" s="31">
        <f>E215+F215+G215+H215-I215</f>
        <v>9072547</v>
      </c>
      <c r="K215" s="247">
        <f>J215/J$142*100</f>
        <v>0.25257647550111356</v>
      </c>
    </row>
    <row r="216" spans="1:11" customFormat="1" x14ac:dyDescent="0.2">
      <c r="A216" s="99"/>
      <c r="B216" s="100"/>
      <c r="C216" s="101" t="s">
        <v>2</v>
      </c>
      <c r="D216" s="102" t="s">
        <v>3</v>
      </c>
      <c r="E216" s="31"/>
      <c r="F216" s="31"/>
      <c r="G216" s="31"/>
      <c r="H216" s="31"/>
      <c r="I216" s="31"/>
      <c r="J216" s="31"/>
      <c r="K216" s="248"/>
    </row>
    <row r="217" spans="1:11" s="5" customFormat="1" x14ac:dyDescent="0.2">
      <c r="A217" s="99">
        <v>4120</v>
      </c>
      <c r="B217" s="100"/>
      <c r="C217" s="101" t="s">
        <v>4</v>
      </c>
      <c r="D217" s="102" t="s">
        <v>5</v>
      </c>
      <c r="E217" s="31">
        <v>6188894</v>
      </c>
      <c r="F217" s="31">
        <v>2583653</v>
      </c>
      <c r="G217" s="31">
        <v>300000</v>
      </c>
      <c r="H217" s="31">
        <v>0</v>
      </c>
      <c r="I217" s="31">
        <v>0</v>
      </c>
      <c r="J217" s="31">
        <f>E217+F217+G217+H217</f>
        <v>9072547</v>
      </c>
      <c r="K217" s="247">
        <f>J217/J$142*100</f>
        <v>0.25257647550111356</v>
      </c>
    </row>
    <row r="218" spans="1:11" customFormat="1" x14ac:dyDescent="0.2">
      <c r="A218" s="99"/>
      <c r="B218" s="100"/>
      <c r="C218" s="101"/>
      <c r="D218" s="102"/>
      <c r="E218" s="31"/>
      <c r="F218" s="31"/>
      <c r="G218" s="31"/>
      <c r="H218" s="31"/>
      <c r="I218" s="31"/>
      <c r="J218" s="31"/>
      <c r="K218" s="248"/>
    </row>
    <row r="219" spans="1:11" s="5" customFormat="1" x14ac:dyDescent="0.2">
      <c r="A219" s="99">
        <v>413</v>
      </c>
      <c r="B219" s="100"/>
      <c r="C219" s="101" t="s">
        <v>6</v>
      </c>
      <c r="D219" s="102" t="s">
        <v>7</v>
      </c>
      <c r="E219" s="31">
        <f>SUM(E221:E227)</f>
        <v>366480735</v>
      </c>
      <c r="F219" s="31">
        <f>SUM(F221:F227)</f>
        <v>70941798</v>
      </c>
      <c r="G219" s="31">
        <f>SUM(G221:G227)</f>
        <v>39270400</v>
      </c>
      <c r="H219" s="31">
        <f>SUM(H221:H227)</f>
        <v>199299028</v>
      </c>
      <c r="I219" s="31">
        <f>SUM(I221:I227)</f>
        <v>260618779</v>
      </c>
      <c r="J219" s="31">
        <f>E219+F219+G219+H219-I219</f>
        <v>415373182</v>
      </c>
      <c r="K219" s="247">
        <f>J219/J$142*100</f>
        <v>11.563841369710467</v>
      </c>
    </row>
    <row r="220" spans="1:11" customFormat="1" x14ac:dyDescent="0.2">
      <c r="A220" s="99"/>
      <c r="B220" s="100"/>
      <c r="C220" s="101"/>
      <c r="D220" s="102"/>
      <c r="E220" s="31"/>
      <c r="F220" s="31"/>
      <c r="G220" s="31"/>
      <c r="H220" s="31"/>
      <c r="I220" s="31"/>
      <c r="J220" s="31"/>
      <c r="K220" s="248"/>
    </row>
    <row r="221" spans="1:11" s="5" customFormat="1" x14ac:dyDescent="0.2">
      <c r="A221" s="210">
        <v>4130</v>
      </c>
      <c r="B221" s="319"/>
      <c r="C221" s="357" t="s">
        <v>8</v>
      </c>
      <c r="D221" s="349" t="s">
        <v>9</v>
      </c>
      <c r="E221" s="33">
        <v>26901913</v>
      </c>
      <c r="F221" s="33">
        <f>3951228-1200000</f>
        <v>2751228</v>
      </c>
      <c r="G221" s="33">
        <v>0</v>
      </c>
      <c r="H221" s="33">
        <v>0</v>
      </c>
      <c r="I221" s="33">
        <f>E221+F221+G221+H221</f>
        <v>29653141</v>
      </c>
      <c r="J221" s="33">
        <f>E221+F221+G221+H221-I221</f>
        <v>0</v>
      </c>
      <c r="K221" s="261"/>
    </row>
    <row r="222" spans="1:11" customFormat="1" x14ac:dyDescent="0.2">
      <c r="A222" s="210"/>
      <c r="B222" s="319"/>
      <c r="C222" s="357"/>
      <c r="D222" s="349"/>
      <c r="E222" s="33"/>
      <c r="F222" s="33"/>
      <c r="G222" s="33"/>
      <c r="H222" s="33"/>
      <c r="I222" s="33"/>
      <c r="J222" s="33"/>
      <c r="K222" s="261"/>
    </row>
    <row r="223" spans="1:11" s="5" customFormat="1" x14ac:dyDescent="0.2">
      <c r="A223" s="210">
        <v>4131</v>
      </c>
      <c r="B223" s="319"/>
      <c r="C223" s="357" t="s">
        <v>10</v>
      </c>
      <c r="D223" s="349" t="s">
        <v>14</v>
      </c>
      <c r="E223" s="33">
        <v>149684544</v>
      </c>
      <c r="F223" s="33">
        <v>1800000</v>
      </c>
      <c r="G223" s="33">
        <v>39270400</v>
      </c>
      <c r="H223" s="33">
        <v>0</v>
      </c>
      <c r="I223" s="33">
        <f>E223+F223+G223+H223</f>
        <v>190754944</v>
      </c>
      <c r="J223" s="33">
        <f>E223+F223+G223+H223-I223</f>
        <v>0</v>
      </c>
      <c r="K223" s="251"/>
    </row>
    <row r="224" spans="1:11" customFormat="1" x14ac:dyDescent="0.2">
      <c r="A224" s="210"/>
      <c r="B224" s="319"/>
      <c r="C224" s="357"/>
      <c r="D224" s="349"/>
      <c r="E224" s="33"/>
      <c r="F224" s="33"/>
      <c r="G224" s="33"/>
      <c r="H224" s="33"/>
      <c r="I224" s="33"/>
      <c r="J224" s="33"/>
      <c r="K224" s="251"/>
    </row>
    <row r="225" spans="1:11" s="5" customFormat="1" x14ac:dyDescent="0.2">
      <c r="A225" s="99">
        <v>4132</v>
      </c>
      <c r="B225" s="100"/>
      <c r="C225" s="101" t="s">
        <v>15</v>
      </c>
      <c r="D225" s="102" t="s">
        <v>16</v>
      </c>
      <c r="E225" s="31">
        <v>2692590</v>
      </c>
      <c r="F225" s="31">
        <v>0</v>
      </c>
      <c r="G225" s="31">
        <v>0</v>
      </c>
      <c r="H225" s="31">
        <v>0</v>
      </c>
      <c r="I225" s="31">
        <v>0</v>
      </c>
      <c r="J225" s="31">
        <f>E225+F225+G225+H225</f>
        <v>2692590</v>
      </c>
      <c r="K225" s="247">
        <f>J225/J$142*100</f>
        <v>7.4960746102449891E-2</v>
      </c>
    </row>
    <row r="226" spans="1:11" customFormat="1" x14ac:dyDescent="0.2">
      <c r="A226" s="99"/>
      <c r="B226" s="100"/>
      <c r="C226" s="101"/>
      <c r="D226" s="102"/>
      <c r="E226" s="31"/>
      <c r="F226" s="31"/>
      <c r="G226" s="31"/>
      <c r="H226" s="31"/>
      <c r="I226" s="31"/>
      <c r="J226" s="34"/>
      <c r="K226" s="248"/>
    </row>
    <row r="227" spans="1:11" s="5" customFormat="1" x14ac:dyDescent="0.2">
      <c r="A227" s="99">
        <v>4133</v>
      </c>
      <c r="B227" s="100"/>
      <c r="C227" s="101" t="s">
        <v>17</v>
      </c>
      <c r="D227" s="102" t="s">
        <v>18</v>
      </c>
      <c r="E227" s="31">
        <f>E228+E229+E230</f>
        <v>187201688</v>
      </c>
      <c r="F227" s="31">
        <f>F228+F229+F230</f>
        <v>66390570</v>
      </c>
      <c r="G227" s="31">
        <f>G228+G229+G230</f>
        <v>0</v>
      </c>
      <c r="H227" s="31">
        <f>H228+H229+H230</f>
        <v>199299028</v>
      </c>
      <c r="I227" s="31">
        <f>I228+I229+I230</f>
        <v>40210694</v>
      </c>
      <c r="J227" s="31">
        <f>E227+F227+G227+H227-I227</f>
        <v>412680592</v>
      </c>
      <c r="K227" s="247">
        <f>J227/J$142*100</f>
        <v>11.488880623608019</v>
      </c>
    </row>
    <row r="228" spans="1:11" s="5" customFormat="1" x14ac:dyDescent="0.2">
      <c r="A228" s="99">
        <v>413300</v>
      </c>
      <c r="B228" s="100"/>
      <c r="C228" s="101" t="s">
        <v>19</v>
      </c>
      <c r="D228" s="102" t="s">
        <v>20</v>
      </c>
      <c r="E228" s="31">
        <v>125640631</v>
      </c>
      <c r="F228" s="31">
        <v>16703630</v>
      </c>
      <c r="G228" s="31"/>
      <c r="H228" s="31">
        <v>82816058</v>
      </c>
      <c r="I228" s="31"/>
      <c r="J228" s="31">
        <f>E228+F228+G228+H228</f>
        <v>225160319</v>
      </c>
      <c r="K228" s="247">
        <f>J228/J$142*100</f>
        <v>6.2683830456570151</v>
      </c>
    </row>
    <row r="229" spans="1:11" s="5" customFormat="1" x14ac:dyDescent="0.2">
      <c r="A229" s="210">
        <v>413301</v>
      </c>
      <c r="B229" s="319"/>
      <c r="C229" s="357" t="s">
        <v>21</v>
      </c>
      <c r="D229" s="349" t="s">
        <v>22</v>
      </c>
      <c r="E229" s="33">
        <v>22275745</v>
      </c>
      <c r="F229" s="33">
        <v>2210956</v>
      </c>
      <c r="G229" s="33"/>
      <c r="H229" s="33">
        <v>15723993</v>
      </c>
      <c r="I229" s="33">
        <f>E229+F229+G229+H229</f>
        <v>40210694</v>
      </c>
      <c r="J229" s="33">
        <f>E229+F229+G229+H229-I229</f>
        <v>0</v>
      </c>
      <c r="K229" s="261"/>
    </row>
    <row r="230" spans="1:11" s="5" customFormat="1" x14ac:dyDescent="0.2">
      <c r="A230" s="99">
        <v>413302</v>
      </c>
      <c r="B230" s="100"/>
      <c r="C230" s="101" t="s">
        <v>23</v>
      </c>
      <c r="D230" s="102" t="s">
        <v>24</v>
      </c>
      <c r="E230" s="31">
        <v>39285312</v>
      </c>
      <c r="F230" s="31">
        <v>47475984</v>
      </c>
      <c r="G230" s="31"/>
      <c r="H230" s="31">
        <v>100758977</v>
      </c>
      <c r="I230" s="31"/>
      <c r="J230" s="31">
        <f>E230+F230+G230+H230-I230</f>
        <v>187520273</v>
      </c>
      <c r="K230" s="247">
        <f>J230/J$142*100</f>
        <v>5.2204975779510017</v>
      </c>
    </row>
    <row r="231" spans="1:11" customFormat="1" x14ac:dyDescent="0.2">
      <c r="A231" s="99"/>
      <c r="B231" s="100"/>
      <c r="C231" s="101"/>
      <c r="D231" s="102"/>
      <c r="E231" s="31"/>
      <c r="F231" s="31"/>
      <c r="G231" s="31"/>
      <c r="H231" s="31"/>
      <c r="I231" s="31"/>
      <c r="J231" s="31"/>
      <c r="K231" s="248"/>
    </row>
    <row r="232" spans="1:11" s="5" customFormat="1" x14ac:dyDescent="0.2">
      <c r="A232" s="99">
        <v>414</v>
      </c>
      <c r="B232" s="100"/>
      <c r="C232" s="101" t="s">
        <v>25</v>
      </c>
      <c r="D232" s="102" t="s">
        <v>26</v>
      </c>
      <c r="E232" s="31">
        <f>SUM(E233:E236)</f>
        <v>2086556</v>
      </c>
      <c r="F232" s="31">
        <f>SUM(F233:F236)</f>
        <v>0</v>
      </c>
      <c r="G232" s="31">
        <f>SUM(G233:G236)</f>
        <v>0</v>
      </c>
      <c r="H232" s="31">
        <f>SUM(H233:H236)</f>
        <v>3468914</v>
      </c>
      <c r="I232" s="31">
        <f>SUM(I233:I236)</f>
        <v>0</v>
      </c>
      <c r="J232" s="31">
        <f>E232+F232+G232+H232-I232</f>
        <v>5555470</v>
      </c>
      <c r="K232" s="247">
        <f>J232/J$142*100</f>
        <v>0.15466230512249443</v>
      </c>
    </row>
    <row r="233" spans="1:11" s="5" customFormat="1" x14ac:dyDescent="0.2">
      <c r="A233" s="99">
        <v>4140</v>
      </c>
      <c r="B233" s="100"/>
      <c r="C233" s="101" t="s">
        <v>27</v>
      </c>
      <c r="D233" s="102" t="s">
        <v>28</v>
      </c>
      <c r="E233" s="31">
        <v>132830</v>
      </c>
      <c r="F233" s="31">
        <v>0</v>
      </c>
      <c r="G233" s="31">
        <v>0</v>
      </c>
      <c r="H233" s="31">
        <v>0</v>
      </c>
      <c r="I233" s="31">
        <v>0</v>
      </c>
      <c r="J233" s="31">
        <f>E233+F233+G233+H233</f>
        <v>132830</v>
      </c>
      <c r="K233" s="247">
        <f>J233/J$142*100</f>
        <v>3.6979398663697107E-3</v>
      </c>
    </row>
    <row r="234" spans="1:11" s="5" customFormat="1" x14ac:dyDescent="0.2">
      <c r="A234" s="99">
        <v>4141</v>
      </c>
      <c r="B234" s="100"/>
      <c r="C234" s="101" t="s">
        <v>29</v>
      </c>
      <c r="D234" s="102" t="s">
        <v>30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f>E234+F234+G234+H234</f>
        <v>0</v>
      </c>
      <c r="K234" s="248"/>
    </row>
    <row r="235" spans="1:11" s="5" customFormat="1" x14ac:dyDescent="0.2">
      <c r="A235" s="99">
        <v>4142</v>
      </c>
      <c r="B235" s="100"/>
      <c r="C235" s="101" t="s">
        <v>31</v>
      </c>
      <c r="D235" s="102" t="s">
        <v>32</v>
      </c>
      <c r="E235" s="31">
        <v>525244</v>
      </c>
      <c r="F235" s="31">
        <v>0</v>
      </c>
      <c r="G235" s="31">
        <v>0</v>
      </c>
      <c r="H235" s="31">
        <v>3468914</v>
      </c>
      <c r="I235" s="31">
        <v>0</v>
      </c>
      <c r="J235" s="31">
        <f>E235+F235+G235+H235</f>
        <v>3994158</v>
      </c>
      <c r="K235" s="247">
        <f>J235/J$142*100</f>
        <v>0.11119593541202673</v>
      </c>
    </row>
    <row r="236" spans="1:11" s="5" customFormat="1" x14ac:dyDescent="0.2">
      <c r="A236" s="99">
        <v>4143</v>
      </c>
      <c r="B236" s="100"/>
      <c r="C236" s="101" t="s">
        <v>33</v>
      </c>
      <c r="D236" s="102" t="s">
        <v>34</v>
      </c>
      <c r="E236" s="31">
        <v>1428482</v>
      </c>
      <c r="F236" s="31">
        <v>0</v>
      </c>
      <c r="G236" s="31">
        <v>0</v>
      </c>
      <c r="H236" s="31">
        <v>0</v>
      </c>
      <c r="I236" s="31">
        <v>0</v>
      </c>
      <c r="J236" s="31">
        <f>E236+F236+G236+H236</f>
        <v>1428482</v>
      </c>
      <c r="K236" s="247">
        <f>J236/J$142*100</f>
        <v>3.9768429844097994E-2</v>
      </c>
    </row>
    <row r="237" spans="1:11" customFormat="1" x14ac:dyDescent="0.2">
      <c r="A237" s="99"/>
      <c r="B237" s="100"/>
      <c r="C237" s="101"/>
      <c r="D237" s="102" t="s">
        <v>462</v>
      </c>
      <c r="E237" s="31"/>
      <c r="F237" s="31"/>
      <c r="G237" s="31"/>
      <c r="H237" s="31"/>
      <c r="I237" s="31"/>
      <c r="J237" s="31"/>
      <c r="K237" s="248"/>
    </row>
    <row r="238" spans="1:11" s="6" customFormat="1" ht="15.75" x14ac:dyDescent="0.25">
      <c r="A238" s="88">
        <v>42</v>
      </c>
      <c r="B238" s="89"/>
      <c r="C238" s="90" t="s">
        <v>35</v>
      </c>
      <c r="D238" s="91" t="s">
        <v>36</v>
      </c>
      <c r="E238" s="32">
        <f>E240</f>
        <v>58462013</v>
      </c>
      <c r="F238" s="32">
        <f>F240</f>
        <v>37774789</v>
      </c>
      <c r="G238" s="32">
        <f>G240</f>
        <v>251055</v>
      </c>
      <c r="H238" s="32">
        <f>H240</f>
        <v>700169</v>
      </c>
      <c r="I238" s="32">
        <f>I240</f>
        <v>0</v>
      </c>
      <c r="J238" s="32">
        <f>E238+F238+G238+H238-I238</f>
        <v>97188026</v>
      </c>
      <c r="K238" s="245">
        <f>J238/J$142*100</f>
        <v>2.7056800111358572</v>
      </c>
    </row>
    <row r="239" spans="1:11" customFormat="1" x14ac:dyDescent="0.2">
      <c r="A239" s="99"/>
      <c r="B239" s="100"/>
      <c r="C239" s="101"/>
      <c r="D239" s="102" t="s">
        <v>462</v>
      </c>
      <c r="E239" s="31"/>
      <c r="F239" s="31"/>
      <c r="G239" s="31"/>
      <c r="H239" s="31"/>
      <c r="I239" s="31"/>
      <c r="J239" s="31"/>
      <c r="K239" s="248"/>
    </row>
    <row r="240" spans="1:11" s="5" customFormat="1" x14ac:dyDescent="0.2">
      <c r="A240" s="99">
        <v>420</v>
      </c>
      <c r="B240" s="100"/>
      <c r="C240" s="101" t="s">
        <v>37</v>
      </c>
      <c r="D240" s="102" t="s">
        <v>38</v>
      </c>
      <c r="E240" s="31">
        <f>SUM(E241:E250)</f>
        <v>58462013</v>
      </c>
      <c r="F240" s="31">
        <f>36574789+1200000</f>
        <v>37774789</v>
      </c>
      <c r="G240" s="31">
        <v>251055</v>
      </c>
      <c r="H240" s="31">
        <v>700169</v>
      </c>
      <c r="I240" s="31">
        <f>SUM(I241:I250)</f>
        <v>0</v>
      </c>
      <c r="J240" s="31">
        <f>E240+F240+G240+H240-I240</f>
        <v>97188026</v>
      </c>
      <c r="K240" s="247">
        <f>J240/J$142*100</f>
        <v>2.7056800111358572</v>
      </c>
    </row>
    <row r="241" spans="1:11" s="5" customFormat="1" x14ac:dyDescent="0.2">
      <c r="A241" s="99">
        <v>4200</v>
      </c>
      <c r="B241" s="100"/>
      <c r="C241" s="101" t="s">
        <v>39</v>
      </c>
      <c r="D241" s="102" t="s">
        <v>40</v>
      </c>
      <c r="E241" s="31">
        <v>2908314</v>
      </c>
      <c r="F241" s="202" t="s">
        <v>845</v>
      </c>
      <c r="G241" s="202" t="s">
        <v>845</v>
      </c>
      <c r="H241" s="202" t="s">
        <v>845</v>
      </c>
      <c r="I241" s="202" t="s">
        <v>845</v>
      </c>
      <c r="J241" s="202" t="s">
        <v>845</v>
      </c>
      <c r="K241" s="247"/>
    </row>
    <row r="242" spans="1:11" s="5" customFormat="1" x14ac:dyDescent="0.2">
      <c r="A242" s="99">
        <v>4201</v>
      </c>
      <c r="B242" s="100"/>
      <c r="C242" s="101" t="s">
        <v>41</v>
      </c>
      <c r="D242" s="102" t="s">
        <v>42</v>
      </c>
      <c r="E242" s="31">
        <v>1227866</v>
      </c>
      <c r="F242" s="202" t="s">
        <v>845</v>
      </c>
      <c r="G242" s="202" t="s">
        <v>845</v>
      </c>
      <c r="H242" s="202" t="s">
        <v>845</v>
      </c>
      <c r="I242" s="202" t="s">
        <v>845</v>
      </c>
      <c r="J242" s="202" t="s">
        <v>845</v>
      </c>
      <c r="K242" s="247"/>
    </row>
    <row r="243" spans="1:11" s="5" customFormat="1" x14ac:dyDescent="0.2">
      <c r="A243" s="99">
        <v>4202</v>
      </c>
      <c r="B243" s="100"/>
      <c r="C243" s="101" t="s">
        <v>43</v>
      </c>
      <c r="D243" s="102" t="s">
        <v>44</v>
      </c>
      <c r="E243" s="31">
        <v>14062519</v>
      </c>
      <c r="F243" s="202" t="s">
        <v>845</v>
      </c>
      <c r="G243" s="202" t="s">
        <v>845</v>
      </c>
      <c r="H243" s="202" t="s">
        <v>845</v>
      </c>
      <c r="I243" s="202" t="s">
        <v>845</v>
      </c>
      <c r="J243" s="202" t="s">
        <v>845</v>
      </c>
      <c r="K243" s="247"/>
    </row>
    <row r="244" spans="1:11" s="5" customFormat="1" x14ac:dyDescent="0.2">
      <c r="A244" s="99">
        <v>4203</v>
      </c>
      <c r="B244" s="100"/>
      <c r="C244" s="101" t="s">
        <v>45</v>
      </c>
      <c r="D244" s="102" t="s">
        <v>46</v>
      </c>
      <c r="E244" s="31">
        <v>376323</v>
      </c>
      <c r="F244" s="202" t="s">
        <v>845</v>
      </c>
      <c r="G244" s="202" t="s">
        <v>845</v>
      </c>
      <c r="H244" s="202" t="s">
        <v>845</v>
      </c>
      <c r="I244" s="202" t="s">
        <v>845</v>
      </c>
      <c r="J244" s="202" t="s">
        <v>845</v>
      </c>
      <c r="K244" s="247"/>
    </row>
    <row r="245" spans="1:11" s="5" customFormat="1" x14ac:dyDescent="0.2">
      <c r="A245" s="99">
        <v>4204</v>
      </c>
      <c r="B245" s="100"/>
      <c r="C245" s="101" t="s">
        <v>47</v>
      </c>
      <c r="D245" s="102" t="s">
        <v>48</v>
      </c>
      <c r="E245" s="31">
        <v>22523551</v>
      </c>
      <c r="F245" s="202" t="s">
        <v>845</v>
      </c>
      <c r="G245" s="202" t="s">
        <v>845</v>
      </c>
      <c r="H245" s="202" t="s">
        <v>845</v>
      </c>
      <c r="I245" s="202" t="s">
        <v>845</v>
      </c>
      <c r="J245" s="202" t="s">
        <v>845</v>
      </c>
      <c r="K245" s="247"/>
    </row>
    <row r="246" spans="1:11" s="5" customFormat="1" x14ac:dyDescent="0.2">
      <c r="A246" s="99">
        <v>4205</v>
      </c>
      <c r="B246" s="100"/>
      <c r="C246" s="101" t="s">
        <v>49</v>
      </c>
      <c r="D246" s="102" t="s">
        <v>50</v>
      </c>
      <c r="E246" s="31">
        <v>11067256</v>
      </c>
      <c r="F246" s="202" t="s">
        <v>845</v>
      </c>
      <c r="G246" s="202" t="s">
        <v>845</v>
      </c>
      <c r="H246" s="202" t="s">
        <v>845</v>
      </c>
      <c r="I246" s="202" t="s">
        <v>845</v>
      </c>
      <c r="J246" s="202" t="s">
        <v>845</v>
      </c>
      <c r="K246" s="247"/>
    </row>
    <row r="247" spans="1:11" s="5" customFormat="1" x14ac:dyDescent="0.2">
      <c r="A247" s="99">
        <v>4206</v>
      </c>
      <c r="B247" s="100"/>
      <c r="C247" s="101" t="s">
        <v>51</v>
      </c>
      <c r="D247" s="102" t="s">
        <v>52</v>
      </c>
      <c r="E247" s="31">
        <v>1502592</v>
      </c>
      <c r="F247" s="202" t="s">
        <v>845</v>
      </c>
      <c r="G247" s="202" t="s">
        <v>845</v>
      </c>
      <c r="H247" s="202" t="s">
        <v>845</v>
      </c>
      <c r="I247" s="202" t="s">
        <v>845</v>
      </c>
      <c r="J247" s="202" t="s">
        <v>845</v>
      </c>
      <c r="K247" s="247"/>
    </row>
    <row r="248" spans="1:11" s="5" customFormat="1" x14ac:dyDescent="0.2">
      <c r="A248" s="99">
        <v>4207</v>
      </c>
      <c r="B248" s="100"/>
      <c r="C248" s="101" t="s">
        <v>53</v>
      </c>
      <c r="D248" s="102" t="s">
        <v>54</v>
      </c>
      <c r="E248" s="31">
        <v>16760</v>
      </c>
      <c r="F248" s="202" t="s">
        <v>845</v>
      </c>
      <c r="G248" s="202" t="s">
        <v>845</v>
      </c>
      <c r="H248" s="202" t="s">
        <v>845</v>
      </c>
      <c r="I248" s="202" t="s">
        <v>845</v>
      </c>
      <c r="J248" s="202" t="s">
        <v>845</v>
      </c>
      <c r="K248" s="247"/>
    </row>
    <row r="249" spans="1:11" s="5" customFormat="1" x14ac:dyDescent="0.2">
      <c r="A249" s="99">
        <v>4208</v>
      </c>
      <c r="B249" s="100"/>
      <c r="C249" s="101" t="s">
        <v>55</v>
      </c>
      <c r="D249" s="102" t="s">
        <v>56</v>
      </c>
      <c r="E249" s="31">
        <v>4711812</v>
      </c>
      <c r="F249" s="202" t="s">
        <v>845</v>
      </c>
      <c r="G249" s="202" t="s">
        <v>845</v>
      </c>
      <c r="H249" s="202" t="s">
        <v>845</v>
      </c>
      <c r="I249" s="202" t="s">
        <v>845</v>
      </c>
      <c r="J249" s="202" t="s">
        <v>845</v>
      </c>
      <c r="K249" s="247"/>
    </row>
    <row r="250" spans="1:11" s="5" customFormat="1" x14ac:dyDescent="0.2">
      <c r="A250" s="99">
        <v>4209</v>
      </c>
      <c r="B250" s="100"/>
      <c r="C250" s="101" t="s">
        <v>57</v>
      </c>
      <c r="D250" s="102" t="s">
        <v>58</v>
      </c>
      <c r="E250" s="31">
        <v>65020</v>
      </c>
      <c r="F250" s="202" t="s">
        <v>845</v>
      </c>
      <c r="G250" s="202" t="s">
        <v>845</v>
      </c>
      <c r="H250" s="202" t="s">
        <v>845</v>
      </c>
      <c r="I250" s="202" t="s">
        <v>845</v>
      </c>
      <c r="J250" s="202" t="s">
        <v>845</v>
      </c>
      <c r="K250" s="247"/>
    </row>
    <row r="251" spans="1:11" customFormat="1" x14ac:dyDescent="0.2">
      <c r="A251" s="99"/>
      <c r="B251" s="100"/>
      <c r="C251" s="101"/>
      <c r="D251" s="102"/>
      <c r="E251" s="31"/>
      <c r="F251" s="31"/>
      <c r="G251" s="31"/>
      <c r="H251" s="31"/>
      <c r="I251" s="31"/>
      <c r="J251" s="31"/>
      <c r="K251" s="248"/>
    </row>
    <row r="252" spans="1:11" s="6" customFormat="1" ht="15.75" x14ac:dyDescent="0.25">
      <c r="A252" s="88">
        <v>43</v>
      </c>
      <c r="B252" s="89"/>
      <c r="C252" s="90" t="s">
        <v>59</v>
      </c>
      <c r="D252" s="91" t="s">
        <v>60</v>
      </c>
      <c r="E252" s="32">
        <f>E254</f>
        <v>52411480</v>
      </c>
      <c r="F252" s="32">
        <f>F254</f>
        <v>24220597</v>
      </c>
      <c r="G252" s="32">
        <f>G254</f>
        <v>0</v>
      </c>
      <c r="H252" s="32">
        <f>H254</f>
        <v>0</v>
      </c>
      <c r="I252" s="32">
        <f>I254</f>
        <v>9602315</v>
      </c>
      <c r="J252" s="32">
        <f>E252+F252+G252+H252-I252</f>
        <v>67029762</v>
      </c>
      <c r="K252" s="245">
        <f>J252/J$142*100</f>
        <v>1.8660846881959909</v>
      </c>
    </row>
    <row r="253" spans="1:11" customFormat="1" x14ac:dyDescent="0.2">
      <c r="A253" s="99"/>
      <c r="B253" s="100"/>
      <c r="C253" s="101"/>
      <c r="D253" s="102" t="s">
        <v>462</v>
      </c>
      <c r="E253" s="31"/>
      <c r="F253" s="31"/>
      <c r="G253" s="31"/>
      <c r="H253" s="31"/>
      <c r="I253" s="31"/>
      <c r="J253" s="31"/>
      <c r="K253" s="248"/>
    </row>
    <row r="254" spans="1:11" s="5" customFormat="1" x14ac:dyDescent="0.2">
      <c r="A254" s="99">
        <v>430</v>
      </c>
      <c r="B254" s="100"/>
      <c r="C254" s="101" t="s">
        <v>61</v>
      </c>
      <c r="D254" s="102" t="s">
        <v>60</v>
      </c>
      <c r="E254" s="31">
        <f>SUM(E256:E264)</f>
        <v>52411480</v>
      </c>
      <c r="F254" s="31">
        <f>SUM(F256:F264)</f>
        <v>24220597</v>
      </c>
      <c r="G254" s="31">
        <f>SUM(G256:G264)</f>
        <v>0</v>
      </c>
      <c r="H254" s="31">
        <f>SUM(H256:H264)</f>
        <v>0</v>
      </c>
      <c r="I254" s="31">
        <f>SUM(I256:I264)</f>
        <v>9602315</v>
      </c>
      <c r="J254" s="31">
        <f>E254+F254+G254+H254-I254</f>
        <v>67029762</v>
      </c>
      <c r="K254" s="247">
        <f>J254/J$142*100</f>
        <v>1.8660846881959909</v>
      </c>
    </row>
    <row r="255" spans="1:11" customFormat="1" x14ac:dyDescent="0.2">
      <c r="A255" s="99"/>
      <c r="B255" s="100"/>
      <c r="C255" s="101"/>
      <c r="D255" s="102"/>
      <c r="E255" s="31"/>
      <c r="F255" s="31"/>
      <c r="G255" s="31"/>
      <c r="H255" s="31"/>
      <c r="I255" s="31"/>
      <c r="J255" s="31"/>
      <c r="K255" s="248"/>
    </row>
    <row r="256" spans="1:11" s="5" customFormat="1" x14ac:dyDescent="0.2">
      <c r="A256" s="210">
        <v>4300</v>
      </c>
      <c r="B256" s="319"/>
      <c r="C256" s="357" t="s">
        <v>62</v>
      </c>
      <c r="D256" s="349" t="s">
        <v>64</v>
      </c>
      <c r="E256" s="33">
        <v>7652315</v>
      </c>
      <c r="F256" s="33">
        <v>1950000</v>
      </c>
      <c r="G256" s="33">
        <v>0</v>
      </c>
      <c r="H256" s="33">
        <v>0</v>
      </c>
      <c r="I256" s="33">
        <f>E256+F256+G256+H256</f>
        <v>9602315</v>
      </c>
      <c r="J256" s="33">
        <f>E256+F256+G256+H256-I256</f>
        <v>0</v>
      </c>
      <c r="K256" s="251"/>
    </row>
    <row r="257" spans="1:11" s="5" customFormat="1" x14ac:dyDescent="0.2">
      <c r="A257" s="99">
        <v>4301</v>
      </c>
      <c r="B257" s="100"/>
      <c r="C257" s="101" t="s">
        <v>65</v>
      </c>
      <c r="D257" s="102" t="s">
        <v>66</v>
      </c>
      <c r="E257" s="31">
        <v>1709950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247"/>
    </row>
    <row r="258" spans="1:11" s="5" customFormat="1" x14ac:dyDescent="0.2">
      <c r="A258" s="99">
        <v>4302</v>
      </c>
      <c r="B258" s="100"/>
      <c r="C258" s="101" t="s">
        <v>67</v>
      </c>
      <c r="D258" s="102" t="s">
        <v>68</v>
      </c>
      <c r="E258" s="31">
        <v>1065913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247"/>
    </row>
    <row r="259" spans="1:11" s="5" customFormat="1" x14ac:dyDescent="0.2">
      <c r="A259" s="99">
        <v>4303</v>
      </c>
      <c r="B259" s="100"/>
      <c r="C259" s="101" t="s">
        <v>69</v>
      </c>
      <c r="D259" s="102" t="s">
        <v>70</v>
      </c>
      <c r="E259" s="31">
        <v>33544009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247"/>
    </row>
    <row r="260" spans="1:11" s="5" customFormat="1" x14ac:dyDescent="0.2">
      <c r="A260" s="99">
        <v>4304</v>
      </c>
      <c r="B260" s="100"/>
      <c r="C260" s="101" t="s">
        <v>71</v>
      </c>
      <c r="D260" s="102" t="s">
        <v>72</v>
      </c>
      <c r="E260" s="31">
        <v>3000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247"/>
    </row>
    <row r="261" spans="1:11" s="5" customFormat="1" x14ac:dyDescent="0.2">
      <c r="A261" s="99">
        <v>4305</v>
      </c>
      <c r="B261" s="100"/>
      <c r="C261" s="101" t="s">
        <v>73</v>
      </c>
      <c r="D261" s="102" t="s">
        <v>74</v>
      </c>
      <c r="E261" s="31">
        <v>3607372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247"/>
    </row>
    <row r="262" spans="1:11" s="5" customFormat="1" x14ac:dyDescent="0.2">
      <c r="A262" s="99">
        <v>4306</v>
      </c>
      <c r="B262" s="100"/>
      <c r="C262" s="101" t="s">
        <v>75</v>
      </c>
      <c r="D262" s="102" t="s">
        <v>76</v>
      </c>
      <c r="E262" s="31">
        <v>17650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247"/>
    </row>
    <row r="263" spans="1:11" s="5" customFormat="1" x14ac:dyDescent="0.2">
      <c r="A263" s="99">
        <v>4307</v>
      </c>
      <c r="B263" s="100"/>
      <c r="C263" s="101" t="s">
        <v>77</v>
      </c>
      <c r="D263" s="102" t="s">
        <v>78</v>
      </c>
      <c r="E263" s="31">
        <v>4811271</v>
      </c>
      <c r="F263" s="31">
        <f>26020597-1950000-1800000</f>
        <v>22270597</v>
      </c>
      <c r="G263" s="31">
        <v>0</v>
      </c>
      <c r="H263" s="31">
        <v>0</v>
      </c>
      <c r="I263" s="31">
        <v>0</v>
      </c>
      <c r="J263" s="31">
        <v>0</v>
      </c>
      <c r="K263" s="247"/>
    </row>
    <row r="264" spans="1:11" s="5" customFormat="1" x14ac:dyDescent="0.2">
      <c r="A264" s="99">
        <v>4308</v>
      </c>
      <c r="B264" s="100"/>
      <c r="C264" s="101" t="s">
        <v>79</v>
      </c>
      <c r="D264" s="102" t="s">
        <v>82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247"/>
    </row>
    <row r="265" spans="1:11" customFormat="1" ht="15.75" thickBot="1" x14ac:dyDescent="0.25">
      <c r="A265" s="310"/>
      <c r="B265" s="320"/>
      <c r="C265" s="358"/>
      <c r="D265" s="351"/>
      <c r="E265" s="35"/>
      <c r="F265" s="35"/>
      <c r="G265" s="35"/>
      <c r="H265" s="35"/>
      <c r="I265" s="35"/>
      <c r="J265" s="35"/>
      <c r="K265" s="253"/>
    </row>
    <row r="266" spans="1:11" customFormat="1" ht="15.75" thickTop="1" x14ac:dyDescent="0.2">
      <c r="A266" s="311"/>
      <c r="B266" s="321"/>
      <c r="C266" s="371"/>
      <c r="D266" s="352"/>
      <c r="E266" s="36"/>
      <c r="F266" s="36"/>
      <c r="G266" s="36"/>
      <c r="H266" s="36"/>
      <c r="I266" s="36"/>
      <c r="J266" s="36"/>
      <c r="K266" s="302"/>
    </row>
    <row r="267" spans="1:11" customFormat="1" ht="15.75" thickBot="1" x14ac:dyDescent="0.25">
      <c r="A267" s="99"/>
      <c r="B267" s="100"/>
      <c r="C267" s="101"/>
      <c r="D267" s="102"/>
      <c r="E267" s="31"/>
      <c r="F267" s="31"/>
      <c r="G267" s="31"/>
      <c r="H267" s="31"/>
      <c r="I267" s="31"/>
      <c r="J267" s="31"/>
      <c r="K267" s="253"/>
    </row>
    <row r="268" spans="1:11" s="6" customFormat="1" ht="17.25" thickTop="1" thickBot="1" x14ac:dyDescent="0.3">
      <c r="A268" s="13"/>
      <c r="B268" s="18" t="s">
        <v>83</v>
      </c>
      <c r="C268" s="361" t="s">
        <v>84</v>
      </c>
      <c r="D268" s="350" t="s">
        <v>85</v>
      </c>
      <c r="E268" s="30">
        <f t="shared" ref="E268:J268" si="15">E22-E145</f>
        <v>-29780000</v>
      </c>
      <c r="F268" s="30">
        <f t="shared" si="15"/>
        <v>9470621</v>
      </c>
      <c r="G268" s="30">
        <f t="shared" si="15"/>
        <v>-11777100</v>
      </c>
      <c r="H268" s="30">
        <f t="shared" si="15"/>
        <v>-2000000</v>
      </c>
      <c r="I268" s="30">
        <f t="shared" si="15"/>
        <v>-47642</v>
      </c>
      <c r="J268" s="46">
        <f t="shared" si="15"/>
        <v>-34038837</v>
      </c>
      <c r="K268" s="275">
        <f>J268/J$142*100</f>
        <v>-0.94762909242761695</v>
      </c>
    </row>
    <row r="269" spans="1:11" s="6" customFormat="1" ht="16.5" thickTop="1" x14ac:dyDescent="0.25">
      <c r="A269" s="13"/>
      <c r="B269" s="18"/>
      <c r="C269" s="361" t="s">
        <v>86</v>
      </c>
      <c r="D269" s="350" t="s">
        <v>87</v>
      </c>
      <c r="E269" s="30"/>
      <c r="F269" s="30"/>
      <c r="G269" s="30"/>
      <c r="H269" s="30"/>
      <c r="I269" s="30"/>
      <c r="J269" s="30"/>
      <c r="K269" s="301"/>
    </row>
    <row r="270" spans="1:11" s="6" customFormat="1" ht="15.75" x14ac:dyDescent="0.25">
      <c r="A270" s="88"/>
      <c r="B270" s="89"/>
      <c r="C270" s="90" t="s">
        <v>88</v>
      </c>
      <c r="D270" s="91" t="s">
        <v>88</v>
      </c>
      <c r="E270" s="32"/>
      <c r="F270" s="32"/>
      <c r="G270" s="32"/>
      <c r="H270" s="32"/>
      <c r="I270" s="32"/>
      <c r="J270" s="29"/>
      <c r="K270" s="252"/>
    </row>
    <row r="271" spans="1:11" s="6" customFormat="1" ht="15.75" x14ac:dyDescent="0.25">
      <c r="A271" s="88"/>
      <c r="B271" s="89"/>
      <c r="C271" s="90" t="s">
        <v>864</v>
      </c>
      <c r="D271" s="91" t="s">
        <v>89</v>
      </c>
      <c r="E271" s="32"/>
      <c r="F271" s="32"/>
      <c r="G271" s="32"/>
      <c r="H271" s="32"/>
      <c r="I271" s="32"/>
      <c r="J271" s="32"/>
      <c r="K271" s="252"/>
    </row>
    <row r="272" spans="1:11" customFormat="1" ht="15.75" thickBot="1" x14ac:dyDescent="0.25">
      <c r="A272" s="310"/>
      <c r="B272" s="320"/>
      <c r="C272" s="358"/>
      <c r="D272" s="351"/>
      <c r="E272" s="35"/>
      <c r="F272" s="35"/>
      <c r="G272" s="35"/>
      <c r="H272" s="35"/>
      <c r="I272" s="35"/>
      <c r="J272" s="35"/>
      <c r="K272" s="271"/>
    </row>
    <row r="273" spans="1:11" customFormat="1" ht="15.75" thickTop="1" x14ac:dyDescent="0.2">
      <c r="A273" s="309"/>
      <c r="B273" s="318"/>
      <c r="C273" s="63"/>
      <c r="D273" s="64"/>
      <c r="E273" s="326"/>
      <c r="F273" s="326"/>
      <c r="G273" s="326"/>
      <c r="H273" s="326"/>
      <c r="I273" s="326"/>
      <c r="J273" s="326"/>
      <c r="K273" s="327"/>
    </row>
    <row r="274" spans="1:11" s="6" customFormat="1" ht="15.75" x14ac:dyDescent="0.25">
      <c r="A274" s="13"/>
      <c r="B274" s="18" t="s">
        <v>90</v>
      </c>
      <c r="C274" s="361" t="s">
        <v>91</v>
      </c>
      <c r="D274" s="350" t="s">
        <v>92</v>
      </c>
      <c r="E274" s="30">
        <f t="shared" ref="E274:J274" si="16">(E22-E83)-(E145-E178-E185)</f>
        <v>23032011</v>
      </c>
      <c r="F274" s="30">
        <f t="shared" si="16"/>
        <v>8870621</v>
      </c>
      <c r="G274" s="30">
        <f t="shared" si="16"/>
        <v>-12427100</v>
      </c>
      <c r="H274" s="30">
        <f t="shared" si="16"/>
        <v>-3000361</v>
      </c>
      <c r="I274" s="30">
        <f t="shared" si="16"/>
        <v>-47642</v>
      </c>
      <c r="J274" s="30">
        <f t="shared" si="16"/>
        <v>16522813</v>
      </c>
      <c r="K274" s="269">
        <f>J274/J$142*100</f>
        <v>0.45998922605790649</v>
      </c>
    </row>
    <row r="275" spans="1:11" s="6" customFormat="1" ht="15.75" x14ac:dyDescent="0.25">
      <c r="A275" s="13"/>
      <c r="B275" s="18"/>
      <c r="C275" s="361" t="s">
        <v>93</v>
      </c>
      <c r="D275" s="350" t="s">
        <v>94</v>
      </c>
      <c r="E275" s="30"/>
      <c r="F275" s="30"/>
      <c r="G275" s="30"/>
      <c r="H275" s="30"/>
      <c r="I275" s="30"/>
      <c r="J275" s="15"/>
      <c r="K275" s="270"/>
    </row>
    <row r="276" spans="1:11" s="6" customFormat="1" ht="15.75" x14ac:dyDescent="0.25">
      <c r="A276" s="88"/>
      <c r="B276" s="89"/>
      <c r="C276" s="90" t="s">
        <v>95</v>
      </c>
      <c r="D276" s="91" t="s">
        <v>95</v>
      </c>
      <c r="E276" s="32"/>
      <c r="F276" s="32"/>
      <c r="G276" s="32"/>
      <c r="H276" s="32"/>
      <c r="I276" s="32"/>
      <c r="J276" s="29"/>
      <c r="K276" s="252"/>
    </row>
    <row r="277" spans="1:11" customFormat="1" ht="15.75" thickBot="1" x14ac:dyDescent="0.25">
      <c r="A277" s="310"/>
      <c r="B277" s="320"/>
      <c r="C277" s="358"/>
      <c r="D277" s="351"/>
      <c r="E277" s="35"/>
      <c r="F277" s="35"/>
      <c r="G277" s="35"/>
      <c r="H277" s="35"/>
      <c r="I277" s="35"/>
      <c r="J277" s="35"/>
      <c r="K277" s="271"/>
    </row>
    <row r="278" spans="1:11" customFormat="1" ht="15.75" thickTop="1" x14ac:dyDescent="0.2">
      <c r="A278" s="309"/>
      <c r="B278" s="318"/>
      <c r="C278" s="63"/>
      <c r="D278" s="64"/>
      <c r="E278" s="326"/>
      <c r="F278" s="326"/>
      <c r="G278" s="326"/>
      <c r="H278" s="326"/>
      <c r="I278" s="326"/>
      <c r="J278" s="326"/>
      <c r="K278" s="327"/>
    </row>
    <row r="279" spans="1:11" s="6" customFormat="1" ht="15.75" x14ac:dyDescent="0.25">
      <c r="A279" s="13"/>
      <c r="B279" s="18" t="s">
        <v>96</v>
      </c>
      <c r="C279" s="361" t="s">
        <v>97</v>
      </c>
      <c r="D279" s="350" t="s">
        <v>98</v>
      </c>
      <c r="E279" s="30">
        <f>E25-(E148+E196)</f>
        <v>81093493</v>
      </c>
      <c r="F279" s="30">
        <f>F25-(F148+F196)</f>
        <v>27258779</v>
      </c>
      <c r="G279" s="30">
        <f>G25-(G148+G196)</f>
        <v>-167285821</v>
      </c>
      <c r="H279" s="30">
        <f>H25-(H148+H196)</f>
        <v>-41961325</v>
      </c>
      <c r="I279" s="30">
        <f>I25-(I148+I196)</f>
        <v>-227073826</v>
      </c>
      <c r="J279" s="30">
        <f>(J25+J131)-(J148+J196)</f>
        <v>126178952</v>
      </c>
      <c r="K279" s="269">
        <f>J279/J$142*100</f>
        <v>3.5127770601336303</v>
      </c>
    </row>
    <row r="280" spans="1:11" s="6" customFormat="1" ht="15.75" x14ac:dyDescent="0.25">
      <c r="A280" s="13"/>
      <c r="B280" s="18"/>
      <c r="C280" s="361" t="s">
        <v>93</v>
      </c>
      <c r="D280" s="350" t="s">
        <v>94</v>
      </c>
      <c r="E280" s="30"/>
      <c r="F280" s="30"/>
      <c r="G280" s="30"/>
      <c r="H280" s="30"/>
      <c r="I280" s="30"/>
      <c r="J280" s="15"/>
      <c r="K280" s="270"/>
    </row>
    <row r="281" spans="1:11" s="6" customFormat="1" ht="15.75" x14ac:dyDescent="0.25">
      <c r="A281" s="88"/>
      <c r="B281" s="89"/>
      <c r="C281" s="90" t="s">
        <v>99</v>
      </c>
      <c r="D281" s="91" t="s">
        <v>99</v>
      </c>
      <c r="E281" s="32"/>
      <c r="F281" s="32"/>
      <c r="G281" s="32"/>
      <c r="H281" s="32"/>
      <c r="I281" s="32"/>
      <c r="J281" s="29"/>
      <c r="K281" s="252"/>
    </row>
    <row r="282" spans="1:11" customFormat="1" ht="15.75" thickBot="1" x14ac:dyDescent="0.25">
      <c r="A282" s="312"/>
      <c r="B282" s="322"/>
      <c r="C282" s="372"/>
      <c r="D282" s="354"/>
      <c r="E282" s="38"/>
      <c r="F282" s="38"/>
      <c r="G282" s="38"/>
      <c r="H282" s="38"/>
      <c r="I282" s="38"/>
      <c r="J282" s="38"/>
      <c r="K282" s="303"/>
    </row>
    <row r="283" spans="1:11" s="1" customFormat="1" ht="15.75" thickTop="1" x14ac:dyDescent="0.2">
      <c r="A283" s="313"/>
      <c r="B283" s="313"/>
      <c r="C283" s="59"/>
      <c r="D283" s="59"/>
      <c r="E283" s="39"/>
      <c r="F283" s="39"/>
      <c r="G283" s="39"/>
      <c r="H283" s="39"/>
      <c r="I283" s="39"/>
      <c r="J283" s="39"/>
      <c r="K283" s="39"/>
    </row>
    <row r="284" spans="1:11" s="1" customFormat="1" x14ac:dyDescent="0.2">
      <c r="A284" s="52"/>
      <c r="B284" s="52"/>
      <c r="C284" s="12"/>
      <c r="D284" s="12"/>
      <c r="E284" s="37"/>
      <c r="F284" s="37"/>
      <c r="G284" s="37"/>
      <c r="H284" s="37"/>
      <c r="I284" s="37"/>
      <c r="J284" s="37"/>
      <c r="K284" s="37"/>
    </row>
    <row r="285" spans="1:11" s="1" customFormat="1" x14ac:dyDescent="0.2">
      <c r="A285" s="52"/>
      <c r="B285" s="52"/>
      <c r="C285" s="12"/>
      <c r="D285" s="12"/>
      <c r="E285" s="37"/>
      <c r="F285" s="37"/>
      <c r="G285" s="37"/>
      <c r="H285" s="37"/>
      <c r="I285" s="37"/>
      <c r="J285" s="37"/>
      <c r="K285" s="37"/>
    </row>
    <row r="286" spans="1:11" s="8" customFormat="1" ht="23.25" x14ac:dyDescent="0.35">
      <c r="A286" s="17"/>
      <c r="B286" s="17" t="s">
        <v>841</v>
      </c>
      <c r="C286" s="17" t="s">
        <v>842</v>
      </c>
      <c r="D286" s="17" t="s">
        <v>843</v>
      </c>
      <c r="E286" s="17"/>
      <c r="F286" s="17"/>
      <c r="G286" s="17"/>
      <c r="H286" s="328"/>
      <c r="I286" s="328"/>
      <c r="J286" s="328"/>
      <c r="K286" s="328"/>
    </row>
    <row r="287" spans="1:11" s="1" customFormat="1" x14ac:dyDescent="0.2">
      <c r="A287" s="52"/>
      <c r="B287" s="52"/>
      <c r="C287" s="12"/>
      <c r="D287" s="12"/>
      <c r="E287" s="4"/>
      <c r="F287" s="4"/>
      <c r="G287" s="4"/>
      <c r="H287" s="4"/>
      <c r="I287" s="4"/>
      <c r="J287" s="4"/>
      <c r="K287" s="4"/>
    </row>
    <row r="288" spans="1:11" s="1" customFormat="1" ht="16.5" thickBot="1" x14ac:dyDescent="0.3">
      <c r="A288" s="305"/>
      <c r="B288" s="305"/>
      <c r="C288" s="346"/>
      <c r="D288" s="346"/>
      <c r="E288" s="241"/>
      <c r="F288" s="241"/>
      <c r="G288" s="241"/>
      <c r="H288" s="241"/>
      <c r="I288" s="55" t="s">
        <v>208</v>
      </c>
      <c r="J288" s="55"/>
      <c r="K288" s="241"/>
    </row>
    <row r="289" spans="1:11" customFormat="1" ht="16.5" thickTop="1" x14ac:dyDescent="0.25">
      <c r="A289" s="306"/>
      <c r="B289" s="317"/>
      <c r="C289" s="347"/>
      <c r="D289" s="373"/>
      <c r="E289" s="334"/>
      <c r="F289" s="335"/>
      <c r="G289" s="335"/>
      <c r="H289" s="335"/>
      <c r="I289" s="335"/>
      <c r="J289" s="339"/>
      <c r="K289" s="276"/>
    </row>
    <row r="290" spans="1:11" customFormat="1" ht="20.25" x14ac:dyDescent="0.3">
      <c r="A290" s="307"/>
      <c r="B290" s="242"/>
      <c r="C290" s="345"/>
      <c r="D290" s="374"/>
      <c r="E290" s="336" t="s">
        <v>807</v>
      </c>
      <c r="F290" s="337"/>
      <c r="G290" s="337"/>
      <c r="H290" s="337"/>
      <c r="I290" s="337"/>
      <c r="J290" s="340"/>
      <c r="K290" s="277" t="s">
        <v>209</v>
      </c>
    </row>
    <row r="291" spans="1:11" customFormat="1" ht="15.75" x14ac:dyDescent="0.25">
      <c r="A291" s="307"/>
      <c r="B291" s="242"/>
      <c r="C291" s="345"/>
      <c r="D291" s="374"/>
      <c r="E291" s="278"/>
      <c r="F291" s="279"/>
      <c r="G291" s="280"/>
      <c r="H291" s="281"/>
      <c r="I291" s="282" t="s">
        <v>210</v>
      </c>
      <c r="J291" s="282" t="s">
        <v>211</v>
      </c>
      <c r="K291" s="277" t="s">
        <v>212</v>
      </c>
    </row>
    <row r="292" spans="1:11" customFormat="1" ht="15.75" x14ac:dyDescent="0.25">
      <c r="A292" s="329" t="s">
        <v>213</v>
      </c>
      <c r="B292" s="242"/>
      <c r="C292" s="345"/>
      <c r="D292" s="374"/>
      <c r="E292" s="283" t="s">
        <v>214</v>
      </c>
      <c r="F292" s="284" t="s">
        <v>215</v>
      </c>
      <c r="G292" s="288" t="s">
        <v>216</v>
      </c>
      <c r="H292" s="289" t="s">
        <v>217</v>
      </c>
      <c r="I292" s="285" t="s">
        <v>218</v>
      </c>
      <c r="J292" s="285" t="s">
        <v>219</v>
      </c>
      <c r="K292" s="277" t="s">
        <v>220</v>
      </c>
    </row>
    <row r="293" spans="1:11" customFormat="1" ht="15.75" x14ac:dyDescent="0.25">
      <c r="A293" s="307"/>
      <c r="B293" s="242"/>
      <c r="C293" s="345"/>
      <c r="D293" s="374"/>
      <c r="E293" s="283" t="s">
        <v>221</v>
      </c>
      <c r="F293" s="284" t="s">
        <v>222</v>
      </c>
      <c r="G293" s="288"/>
      <c r="H293" s="289"/>
      <c r="I293" s="294" t="s">
        <v>223</v>
      </c>
      <c r="J293" s="285" t="s">
        <v>224</v>
      </c>
      <c r="K293" s="277" t="s">
        <v>225</v>
      </c>
    </row>
    <row r="294" spans="1:11" customFormat="1" ht="16.5" thickBot="1" x14ac:dyDescent="0.3">
      <c r="A294" s="308"/>
      <c r="B294" s="243"/>
      <c r="C294" s="346"/>
      <c r="D294" s="375"/>
      <c r="E294" s="290"/>
      <c r="F294" s="291"/>
      <c r="G294" s="292"/>
      <c r="H294" s="293"/>
      <c r="I294" s="295" t="s">
        <v>226</v>
      </c>
      <c r="J294" s="286"/>
      <c r="K294" s="287" t="s">
        <v>228</v>
      </c>
    </row>
    <row r="295" spans="1:11" customFormat="1" ht="15.75" thickTop="1" x14ac:dyDescent="0.2">
      <c r="A295" s="57"/>
      <c r="B295" s="58"/>
      <c r="C295" s="59"/>
      <c r="D295" s="60"/>
      <c r="E295" s="260" t="s">
        <v>229</v>
      </c>
      <c r="F295" s="260" t="s">
        <v>230</v>
      </c>
      <c r="G295" s="260" t="s">
        <v>231</v>
      </c>
      <c r="H295" s="260" t="s">
        <v>232</v>
      </c>
      <c r="I295" s="260" t="s">
        <v>233</v>
      </c>
      <c r="J295" s="260" t="s">
        <v>234</v>
      </c>
      <c r="K295" s="272"/>
    </row>
    <row r="296" spans="1:11" s="6" customFormat="1" ht="16.5" thickBot="1" x14ac:dyDescent="0.3">
      <c r="A296" s="13"/>
      <c r="B296" s="18" t="s">
        <v>100</v>
      </c>
      <c r="C296" s="361" t="s">
        <v>674</v>
      </c>
      <c r="D296" s="350" t="s">
        <v>675</v>
      </c>
      <c r="E296" s="30"/>
      <c r="F296" s="30"/>
      <c r="G296" s="30"/>
      <c r="H296" s="30"/>
      <c r="I296" s="30"/>
      <c r="J296" s="30"/>
      <c r="K296" s="385"/>
    </row>
    <row r="297" spans="1:11" s="6" customFormat="1" ht="17.25" thickTop="1" thickBot="1" x14ac:dyDescent="0.3">
      <c r="A297" s="13"/>
      <c r="B297" s="18"/>
      <c r="C297" s="361" t="s">
        <v>676</v>
      </c>
      <c r="D297" s="350" t="s">
        <v>677</v>
      </c>
      <c r="E297" s="30">
        <f>E299+E308+E313</f>
        <v>5996704</v>
      </c>
      <c r="F297" s="30">
        <f>F299+F308+F313</f>
        <v>500000</v>
      </c>
      <c r="G297" s="30">
        <f>G299+G308+G313</f>
        <v>0</v>
      </c>
      <c r="H297" s="30">
        <f>H299+H308+H313</f>
        <v>749766</v>
      </c>
      <c r="I297" s="30">
        <f>I299+I308+I313</f>
        <v>718465</v>
      </c>
      <c r="J297" s="46">
        <f>E297+F297+G297+H297-I297</f>
        <v>6528005</v>
      </c>
      <c r="K297" s="275">
        <f>J297/J$142*100</f>
        <v>0.18173733296213809</v>
      </c>
    </row>
    <row r="298" spans="1:11" customFormat="1" ht="15.75" thickTop="1" x14ac:dyDescent="0.2">
      <c r="A298" s="99"/>
      <c r="B298" s="100"/>
      <c r="C298" s="101"/>
      <c r="D298" s="102" t="s">
        <v>462</v>
      </c>
      <c r="E298" s="31"/>
      <c r="F298" s="31"/>
      <c r="G298" s="31"/>
      <c r="H298" s="31"/>
      <c r="I298" s="31"/>
      <c r="J298" s="31"/>
      <c r="K298" s="299"/>
    </row>
    <row r="299" spans="1:11" s="5" customFormat="1" x14ac:dyDescent="0.2">
      <c r="A299" s="99">
        <v>750</v>
      </c>
      <c r="B299" s="100"/>
      <c r="C299" s="101" t="s">
        <v>678</v>
      </c>
      <c r="D299" s="102" t="s">
        <v>679</v>
      </c>
      <c r="E299" s="31">
        <f>SUM(E300:E306)</f>
        <v>996704</v>
      </c>
      <c r="F299" s="31">
        <f>SUM(F300:F306)</f>
        <v>0</v>
      </c>
      <c r="G299" s="31">
        <f>SUM(G300:G306)</f>
        <v>0</v>
      </c>
      <c r="H299" s="31">
        <f>SUM(H300:H306)</f>
        <v>749766</v>
      </c>
      <c r="I299" s="31">
        <f>SUM(I300:I306)</f>
        <v>718465</v>
      </c>
      <c r="J299" s="31">
        <f t="shared" ref="J299:J306" si="17">E299+F299+G299+H299-I299</f>
        <v>1028005</v>
      </c>
      <c r="K299" s="247">
        <f t="shared" ref="K299:K304" si="18">J299/J$142*100</f>
        <v>2.8619292873051226E-2</v>
      </c>
    </row>
    <row r="300" spans="1:11" s="5" customFormat="1" x14ac:dyDescent="0.2">
      <c r="A300" s="99">
        <v>7500</v>
      </c>
      <c r="B300" s="100"/>
      <c r="C300" s="101" t="s">
        <v>680</v>
      </c>
      <c r="D300" s="102" t="s">
        <v>681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f t="shared" si="17"/>
        <v>0</v>
      </c>
      <c r="K300" s="247">
        <f t="shared" si="18"/>
        <v>0</v>
      </c>
    </row>
    <row r="301" spans="1:11" s="5" customFormat="1" x14ac:dyDescent="0.2">
      <c r="A301" s="99">
        <v>7501</v>
      </c>
      <c r="B301" s="100"/>
      <c r="C301" s="101" t="s">
        <v>682</v>
      </c>
      <c r="D301" s="102" t="s">
        <v>683</v>
      </c>
      <c r="E301" s="31">
        <v>174162</v>
      </c>
      <c r="F301" s="31">
        <v>0</v>
      </c>
      <c r="G301" s="31">
        <v>0</v>
      </c>
      <c r="H301" s="31">
        <v>0</v>
      </c>
      <c r="I301" s="31">
        <v>0</v>
      </c>
      <c r="J301" s="31">
        <f t="shared" si="17"/>
        <v>174162</v>
      </c>
      <c r="K301" s="247">
        <f t="shared" si="18"/>
        <v>4.8486080178173725E-3</v>
      </c>
    </row>
    <row r="302" spans="1:11" s="5" customFormat="1" x14ac:dyDescent="0.2">
      <c r="A302" s="99">
        <v>7502</v>
      </c>
      <c r="B302" s="100"/>
      <c r="C302" s="101" t="s">
        <v>684</v>
      </c>
      <c r="D302" s="102" t="s">
        <v>685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f t="shared" si="17"/>
        <v>0</v>
      </c>
      <c r="K302" s="247">
        <f t="shared" si="18"/>
        <v>0</v>
      </c>
    </row>
    <row r="303" spans="1:11" s="5" customFormat="1" x14ac:dyDescent="0.2">
      <c r="A303" s="99">
        <v>7503</v>
      </c>
      <c r="B303" s="100"/>
      <c r="C303" s="101" t="s">
        <v>686</v>
      </c>
      <c r="D303" s="102" t="s">
        <v>687</v>
      </c>
      <c r="E303" s="31">
        <v>822542</v>
      </c>
      <c r="F303" s="31">
        <v>0</v>
      </c>
      <c r="G303" s="31">
        <v>0</v>
      </c>
      <c r="H303" s="31">
        <v>0</v>
      </c>
      <c r="I303" s="31">
        <v>0</v>
      </c>
      <c r="J303" s="31">
        <f t="shared" si="17"/>
        <v>822542</v>
      </c>
      <c r="K303" s="247">
        <f t="shared" si="18"/>
        <v>2.2899276169265032E-2</v>
      </c>
    </row>
    <row r="304" spans="1:11" s="5" customFormat="1" x14ac:dyDescent="0.2">
      <c r="A304" s="210">
        <v>7504</v>
      </c>
      <c r="B304" s="319"/>
      <c r="C304" s="357" t="s">
        <v>688</v>
      </c>
      <c r="D304" s="349" t="s">
        <v>689</v>
      </c>
      <c r="E304" s="33">
        <v>0</v>
      </c>
      <c r="F304" s="33">
        <v>0</v>
      </c>
      <c r="G304" s="33"/>
      <c r="H304" s="33">
        <v>31301</v>
      </c>
      <c r="I304" s="33"/>
      <c r="J304" s="33">
        <f t="shared" si="17"/>
        <v>31301</v>
      </c>
      <c r="K304" s="261">
        <f t="shared" si="18"/>
        <v>8.7140868596881956E-4</v>
      </c>
    </row>
    <row r="305" spans="1:11" s="5" customFormat="1" x14ac:dyDescent="0.2">
      <c r="A305" s="210">
        <v>7506</v>
      </c>
      <c r="B305" s="319"/>
      <c r="C305" s="357" t="s">
        <v>690</v>
      </c>
      <c r="D305" s="349" t="s">
        <v>691</v>
      </c>
      <c r="E305" s="33">
        <v>0</v>
      </c>
      <c r="F305" s="33">
        <v>0</v>
      </c>
      <c r="G305" s="33"/>
      <c r="H305" s="33">
        <v>718465</v>
      </c>
      <c r="I305" s="33">
        <f>E305+F305+G305+H305</f>
        <v>718465</v>
      </c>
      <c r="J305" s="33">
        <f t="shared" si="17"/>
        <v>0</v>
      </c>
      <c r="K305" s="251"/>
    </row>
    <row r="306" spans="1:11" s="5" customFormat="1" x14ac:dyDescent="0.2">
      <c r="A306" s="99">
        <v>7505</v>
      </c>
      <c r="B306" s="100"/>
      <c r="C306" s="101" t="s">
        <v>692</v>
      </c>
      <c r="D306" s="102" t="s">
        <v>693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f t="shared" si="17"/>
        <v>0</v>
      </c>
      <c r="K306" s="248"/>
    </row>
    <row r="307" spans="1:11" customFormat="1" x14ac:dyDescent="0.2">
      <c r="A307" s="99"/>
      <c r="B307" s="100"/>
      <c r="C307" s="101"/>
      <c r="D307" s="102"/>
      <c r="E307" s="31"/>
      <c r="F307" s="31"/>
      <c r="G307" s="31"/>
      <c r="H307" s="31"/>
      <c r="I307" s="31"/>
      <c r="J307" s="31"/>
      <c r="K307" s="248"/>
    </row>
    <row r="308" spans="1:11" s="5" customFormat="1" x14ac:dyDescent="0.2">
      <c r="A308" s="99">
        <v>751</v>
      </c>
      <c r="B308" s="100"/>
      <c r="C308" s="101" t="s">
        <v>676</v>
      </c>
      <c r="D308" s="102" t="s">
        <v>677</v>
      </c>
      <c r="E308" s="31">
        <f>SUM(E309:E311)</f>
        <v>5000000</v>
      </c>
      <c r="F308" s="31">
        <f>SUM(F309:F311)</f>
        <v>500000</v>
      </c>
      <c r="G308" s="31">
        <f>SUM(G309:G311)</f>
        <v>0</v>
      </c>
      <c r="H308" s="31">
        <f>SUM(H309:H311)</f>
        <v>0</v>
      </c>
      <c r="I308" s="31">
        <f>SUM(I309:I311)</f>
        <v>0</v>
      </c>
      <c r="J308" s="31">
        <f>E308+F308+G308+H308-I308</f>
        <v>5500000</v>
      </c>
      <c r="K308" s="247">
        <f>J308/J$142*100</f>
        <v>0.15311804008908686</v>
      </c>
    </row>
    <row r="309" spans="1:11" s="5" customFormat="1" x14ac:dyDescent="0.2">
      <c r="A309" s="99">
        <v>7510</v>
      </c>
      <c r="B309" s="100"/>
      <c r="C309" s="101" t="s">
        <v>694</v>
      </c>
      <c r="D309" s="102" t="s">
        <v>695</v>
      </c>
      <c r="E309" s="31">
        <v>4000000</v>
      </c>
      <c r="F309" s="31">
        <v>0</v>
      </c>
      <c r="G309" s="31">
        <v>0</v>
      </c>
      <c r="H309" s="31">
        <v>0</v>
      </c>
      <c r="I309" s="31">
        <v>0</v>
      </c>
      <c r="J309" s="31">
        <f>E309+F309+G309+H309-I309</f>
        <v>4000000</v>
      </c>
      <c r="K309" s="247">
        <f>J309/J$142*100</f>
        <v>0.11135857461024498</v>
      </c>
    </row>
    <row r="310" spans="1:11" s="5" customFormat="1" x14ac:dyDescent="0.2">
      <c r="A310" s="99">
        <v>7511</v>
      </c>
      <c r="B310" s="100"/>
      <c r="C310" s="101" t="s">
        <v>696</v>
      </c>
      <c r="D310" s="102" t="s">
        <v>697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f>E310+F310+G310+H310-I310</f>
        <v>0</v>
      </c>
      <c r="K310" s="247">
        <f>J310/J$142*100</f>
        <v>0</v>
      </c>
    </row>
    <row r="311" spans="1:11" s="5" customFormat="1" x14ac:dyDescent="0.2">
      <c r="A311" s="99">
        <v>7512</v>
      </c>
      <c r="B311" s="100"/>
      <c r="C311" s="101" t="s">
        <v>698</v>
      </c>
      <c r="D311" s="102" t="s">
        <v>699</v>
      </c>
      <c r="E311" s="31">
        <v>1000000</v>
      </c>
      <c r="F311" s="31">
        <v>500000</v>
      </c>
      <c r="G311" s="31">
        <v>0</v>
      </c>
      <c r="H311" s="31">
        <v>0</v>
      </c>
      <c r="I311" s="31">
        <v>0</v>
      </c>
      <c r="J311" s="31">
        <f>E311+F311+G311+H311-I311</f>
        <v>1500000</v>
      </c>
      <c r="K311" s="247">
        <f>J311/J$142*100</f>
        <v>4.1759465478841871E-2</v>
      </c>
    </row>
    <row r="312" spans="1:11" customFormat="1" x14ac:dyDescent="0.2">
      <c r="A312" s="99"/>
      <c r="B312" s="100"/>
      <c r="C312" s="101"/>
      <c r="D312" s="102"/>
      <c r="E312" s="31"/>
      <c r="F312" s="31"/>
      <c r="G312" s="31"/>
      <c r="H312" s="31"/>
      <c r="I312" s="31"/>
      <c r="J312" s="31"/>
      <c r="K312" s="247"/>
    </row>
    <row r="313" spans="1:11" s="5" customFormat="1" x14ac:dyDescent="0.2">
      <c r="A313" s="99">
        <v>752</v>
      </c>
      <c r="B313" s="100"/>
      <c r="C313" s="101" t="s">
        <v>700</v>
      </c>
      <c r="D313" s="102" t="s">
        <v>101</v>
      </c>
      <c r="E313" s="31">
        <f>E314</f>
        <v>0</v>
      </c>
      <c r="F313" s="31">
        <f>F314</f>
        <v>0</v>
      </c>
      <c r="G313" s="31">
        <f>G314</f>
        <v>0</v>
      </c>
      <c r="H313" s="31">
        <f>H314</f>
        <v>0</v>
      </c>
      <c r="I313" s="31">
        <f>I314</f>
        <v>0</v>
      </c>
      <c r="J313" s="31">
        <f>E313+F313+G313+H313-I313</f>
        <v>0</v>
      </c>
      <c r="K313" s="247">
        <f>J313/J$142*100</f>
        <v>0</v>
      </c>
    </row>
    <row r="314" spans="1:11" s="5" customFormat="1" x14ac:dyDescent="0.2">
      <c r="A314" s="99">
        <v>7520</v>
      </c>
      <c r="B314" s="100"/>
      <c r="C314" s="101" t="s">
        <v>102</v>
      </c>
      <c r="D314" s="102" t="s">
        <v>103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f>E314+F314+G314+H314-I314</f>
        <v>0</v>
      </c>
      <c r="K314" s="247">
        <f>J314/J$142*100</f>
        <v>0</v>
      </c>
    </row>
    <row r="315" spans="1:11" customFormat="1" ht="15.75" thickBot="1" x14ac:dyDescent="0.25">
      <c r="A315" s="310"/>
      <c r="B315" s="320"/>
      <c r="C315" s="358"/>
      <c r="D315" s="351"/>
      <c r="E315" s="35"/>
      <c r="F315" s="35"/>
      <c r="G315" s="35"/>
      <c r="H315" s="35"/>
      <c r="I315" s="35"/>
      <c r="J315" s="35"/>
      <c r="K315" s="271"/>
    </row>
    <row r="316" spans="1:11" customFormat="1" ht="15.75" thickTop="1" x14ac:dyDescent="0.2">
      <c r="A316" s="311"/>
      <c r="B316" s="321"/>
      <c r="C316" s="371"/>
      <c r="D316" s="352"/>
      <c r="E316" s="36"/>
      <c r="F316" s="36"/>
      <c r="G316" s="36"/>
      <c r="H316" s="36"/>
      <c r="I316" s="36"/>
      <c r="J316" s="36"/>
      <c r="K316" s="299"/>
    </row>
    <row r="317" spans="1:11" s="6" customFormat="1" ht="16.5" thickBot="1" x14ac:dyDescent="0.3">
      <c r="A317" s="13"/>
      <c r="B317" s="18" t="s">
        <v>104</v>
      </c>
      <c r="C317" s="361" t="s">
        <v>105</v>
      </c>
      <c r="D317" s="350" t="s">
        <v>106</v>
      </c>
      <c r="E317" s="30"/>
      <c r="F317" s="30"/>
      <c r="G317" s="30"/>
      <c r="H317" s="30"/>
      <c r="I317" s="30"/>
      <c r="J317" s="30"/>
      <c r="K317" s="385"/>
    </row>
    <row r="318" spans="1:11" s="6" customFormat="1" ht="17.25" thickTop="1" thickBot="1" x14ac:dyDescent="0.3">
      <c r="A318" s="13"/>
      <c r="B318" s="18"/>
      <c r="C318" s="361" t="s">
        <v>107</v>
      </c>
      <c r="D318" s="350" t="s">
        <v>108</v>
      </c>
      <c r="E318" s="30">
        <f t="shared" ref="E318:J318" si="19">E320+E329+E336</f>
        <v>9008421</v>
      </c>
      <c r="F318" s="30">
        <f t="shared" si="19"/>
        <v>800000</v>
      </c>
      <c r="G318" s="30">
        <f t="shared" si="19"/>
        <v>0</v>
      </c>
      <c r="H318" s="30">
        <f t="shared" si="19"/>
        <v>0</v>
      </c>
      <c r="I318" s="30">
        <f t="shared" si="19"/>
        <v>0</v>
      </c>
      <c r="J318" s="46">
        <f t="shared" si="19"/>
        <v>9808421</v>
      </c>
      <c r="K318" s="275">
        <f>J318/J$142*100</f>
        <v>0.27306294543429843</v>
      </c>
    </row>
    <row r="319" spans="1:11" customFormat="1" ht="15.75" thickTop="1" x14ac:dyDescent="0.2">
      <c r="A319" s="99"/>
      <c r="B319" s="100"/>
      <c r="C319" s="101"/>
      <c r="D319" s="102" t="s">
        <v>462</v>
      </c>
      <c r="E319" s="31"/>
      <c r="F319" s="31"/>
      <c r="G319" s="31"/>
      <c r="H319" s="31"/>
      <c r="I319" s="31"/>
      <c r="J319" s="31"/>
      <c r="K319" s="299"/>
    </row>
    <row r="320" spans="1:11" s="5" customFormat="1" x14ac:dyDescent="0.2">
      <c r="A320" s="99">
        <v>440</v>
      </c>
      <c r="B320" s="100"/>
      <c r="C320" s="101" t="s">
        <v>109</v>
      </c>
      <c r="D320" s="102" t="s">
        <v>110</v>
      </c>
      <c r="E320" s="31">
        <f>SUM(E321:E327)</f>
        <v>5266289</v>
      </c>
      <c r="F320" s="31">
        <f>SUM(F321:F327)</f>
        <v>0</v>
      </c>
      <c r="G320" s="31">
        <f>SUM(G321:G327)</f>
        <v>0</v>
      </c>
      <c r="H320" s="31">
        <f>SUM(H321:H327)</f>
        <v>0</v>
      </c>
      <c r="I320" s="31">
        <f>SUM(I321:I327)</f>
        <v>0</v>
      </c>
      <c r="J320" s="31">
        <f t="shared" ref="J320:J327" si="20">E320+F320+G320+H320-I320</f>
        <v>5266289</v>
      </c>
      <c r="K320" s="247">
        <f t="shared" ref="K320:K325" si="21">J320/J$142*100</f>
        <v>0.14661160913140311</v>
      </c>
    </row>
    <row r="321" spans="1:11" s="5" customFormat="1" x14ac:dyDescent="0.2">
      <c r="A321" s="99">
        <v>4400</v>
      </c>
      <c r="B321" s="100"/>
      <c r="C321" s="101" t="s">
        <v>111</v>
      </c>
      <c r="D321" s="102" t="s">
        <v>112</v>
      </c>
      <c r="E321" s="31">
        <v>43438</v>
      </c>
      <c r="F321" s="31">
        <v>0</v>
      </c>
      <c r="G321" s="31">
        <v>0</v>
      </c>
      <c r="H321" s="31">
        <v>0</v>
      </c>
      <c r="I321" s="31">
        <v>0</v>
      </c>
      <c r="J321" s="31">
        <f t="shared" si="20"/>
        <v>43438</v>
      </c>
      <c r="K321" s="247">
        <f t="shared" si="21"/>
        <v>1.2092984409799554E-3</v>
      </c>
    </row>
    <row r="322" spans="1:11" s="5" customFormat="1" x14ac:dyDescent="0.2">
      <c r="A322" s="99">
        <v>4401</v>
      </c>
      <c r="B322" s="100"/>
      <c r="C322" s="101" t="s">
        <v>113</v>
      </c>
      <c r="D322" s="102" t="s">
        <v>114</v>
      </c>
      <c r="E322" s="31">
        <v>0</v>
      </c>
      <c r="F322" s="31">
        <v>0</v>
      </c>
      <c r="G322" s="31">
        <v>0</v>
      </c>
      <c r="H322" s="31">
        <v>0</v>
      </c>
      <c r="I322" s="31">
        <v>0</v>
      </c>
      <c r="J322" s="31">
        <f t="shared" si="20"/>
        <v>0</v>
      </c>
      <c r="K322" s="247">
        <f t="shared" si="21"/>
        <v>0</v>
      </c>
    </row>
    <row r="323" spans="1:11" s="5" customFormat="1" x14ac:dyDescent="0.2">
      <c r="A323" s="99">
        <v>4402</v>
      </c>
      <c r="B323" s="100"/>
      <c r="C323" s="101" t="s">
        <v>115</v>
      </c>
      <c r="D323" s="102" t="s">
        <v>116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f t="shared" si="20"/>
        <v>0</v>
      </c>
      <c r="K323" s="247">
        <f t="shared" si="21"/>
        <v>0</v>
      </c>
    </row>
    <row r="324" spans="1:11" s="5" customFormat="1" x14ac:dyDescent="0.2">
      <c r="A324" s="99">
        <v>4403</v>
      </c>
      <c r="B324" s="100"/>
      <c r="C324" s="101" t="s">
        <v>117</v>
      </c>
      <c r="D324" s="102" t="s">
        <v>118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f t="shared" si="20"/>
        <v>0</v>
      </c>
      <c r="K324" s="247">
        <f t="shared" si="21"/>
        <v>0</v>
      </c>
    </row>
    <row r="325" spans="1:11" s="5" customFormat="1" x14ac:dyDescent="0.2">
      <c r="A325" s="99">
        <v>4404</v>
      </c>
      <c r="B325" s="100"/>
      <c r="C325" s="101" t="s">
        <v>119</v>
      </c>
      <c r="D325" s="102" t="s">
        <v>120</v>
      </c>
      <c r="E325" s="31">
        <v>5222851</v>
      </c>
      <c r="F325" s="31">
        <v>0</v>
      </c>
      <c r="G325" s="31">
        <v>0</v>
      </c>
      <c r="H325" s="31">
        <v>0</v>
      </c>
      <c r="I325" s="31">
        <v>0</v>
      </c>
      <c r="J325" s="31">
        <f t="shared" si="20"/>
        <v>5222851</v>
      </c>
      <c r="K325" s="247">
        <f t="shared" si="21"/>
        <v>0.14540231069042317</v>
      </c>
    </row>
    <row r="326" spans="1:11" s="5" customFormat="1" x14ac:dyDescent="0.2">
      <c r="A326" s="210">
        <v>4405</v>
      </c>
      <c r="B326" s="319"/>
      <c r="C326" s="357" t="s">
        <v>121</v>
      </c>
      <c r="D326" s="349" t="s">
        <v>122</v>
      </c>
      <c r="E326" s="33">
        <v>0</v>
      </c>
      <c r="F326" s="33">
        <v>0</v>
      </c>
      <c r="G326" s="33">
        <v>0</v>
      </c>
      <c r="H326" s="33">
        <v>0</v>
      </c>
      <c r="I326" s="33">
        <f>E326+F326+G326+H326</f>
        <v>0</v>
      </c>
      <c r="J326" s="33">
        <f t="shared" si="20"/>
        <v>0</v>
      </c>
      <c r="K326" s="251"/>
    </row>
    <row r="327" spans="1:11" s="5" customFormat="1" x14ac:dyDescent="0.2">
      <c r="A327" s="99">
        <v>4406</v>
      </c>
      <c r="B327" s="100"/>
      <c r="C327" s="101" t="s">
        <v>123</v>
      </c>
      <c r="D327" s="102" t="s">
        <v>124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f t="shared" si="20"/>
        <v>0</v>
      </c>
      <c r="K327" s="248"/>
    </row>
    <row r="328" spans="1:11" customFormat="1" x14ac:dyDescent="0.2">
      <c r="A328" s="99"/>
      <c r="B328" s="100"/>
      <c r="C328" s="101"/>
      <c r="D328" s="102"/>
      <c r="E328" s="31"/>
      <c r="F328" s="31"/>
      <c r="G328" s="31"/>
      <c r="H328" s="31"/>
      <c r="I328" s="31"/>
      <c r="J328" s="31"/>
      <c r="K328" s="248"/>
    </row>
    <row r="329" spans="1:11" s="5" customFormat="1" x14ac:dyDescent="0.2">
      <c r="A329" s="99">
        <v>441</v>
      </c>
      <c r="B329" s="100"/>
      <c r="C329" s="101" t="s">
        <v>125</v>
      </c>
      <c r="D329" s="102" t="s">
        <v>126</v>
      </c>
      <c r="E329" s="31">
        <f>SUM(E330:E334)</f>
        <v>3742132</v>
      </c>
      <c r="F329" s="31">
        <f>SUM(F330:F334)</f>
        <v>800000</v>
      </c>
      <c r="G329" s="31">
        <f>SUM(G330:G334)</f>
        <v>0</v>
      </c>
      <c r="H329" s="31">
        <f>SUM(H330:H334)</f>
        <v>0</v>
      </c>
      <c r="I329" s="31">
        <f>SUM(I330:I334)</f>
        <v>0</v>
      </c>
      <c r="J329" s="31">
        <f t="shared" ref="J329:J334" si="22">E329+F329+G329+H329-I329</f>
        <v>4542132</v>
      </c>
      <c r="K329" s="247">
        <f t="shared" ref="K329:K334" si="23">J329/J$142*100</f>
        <v>0.12645133630289532</v>
      </c>
    </row>
    <row r="330" spans="1:11" s="5" customFormat="1" x14ac:dyDescent="0.2">
      <c r="A330" s="99">
        <v>4410</v>
      </c>
      <c r="B330" s="100"/>
      <c r="C330" s="101" t="s">
        <v>701</v>
      </c>
      <c r="D330" s="102" t="s">
        <v>702</v>
      </c>
      <c r="E330" s="31">
        <v>3200000</v>
      </c>
      <c r="F330" s="31">
        <v>0</v>
      </c>
      <c r="G330" s="31">
        <v>0</v>
      </c>
      <c r="H330" s="31">
        <v>0</v>
      </c>
      <c r="I330" s="31">
        <v>0</v>
      </c>
      <c r="J330" s="31">
        <f t="shared" si="22"/>
        <v>3200000</v>
      </c>
      <c r="K330" s="247">
        <f t="shared" si="23"/>
        <v>8.9086859688195991E-2</v>
      </c>
    </row>
    <row r="331" spans="1:11" s="5" customFormat="1" x14ac:dyDescent="0.2">
      <c r="A331" s="99">
        <v>4411</v>
      </c>
      <c r="B331" s="100"/>
      <c r="C331" s="101" t="s">
        <v>703</v>
      </c>
      <c r="D331" s="102" t="s">
        <v>704</v>
      </c>
      <c r="E331" s="31">
        <v>100000</v>
      </c>
      <c r="F331" s="31">
        <v>0</v>
      </c>
      <c r="G331" s="31">
        <v>0</v>
      </c>
      <c r="H331" s="31">
        <v>0</v>
      </c>
      <c r="I331" s="31">
        <v>0</v>
      </c>
      <c r="J331" s="31">
        <f t="shared" si="22"/>
        <v>100000</v>
      </c>
      <c r="K331" s="247">
        <f t="shared" si="23"/>
        <v>2.7839643652561247E-3</v>
      </c>
    </row>
    <row r="332" spans="1:11" s="5" customFormat="1" x14ac:dyDescent="0.2">
      <c r="A332" s="99">
        <v>4412</v>
      </c>
      <c r="B332" s="100"/>
      <c r="C332" s="101" t="s">
        <v>705</v>
      </c>
      <c r="D332" s="102" t="s">
        <v>706</v>
      </c>
      <c r="E332" s="31">
        <v>150000</v>
      </c>
      <c r="F332" s="31">
        <v>800000</v>
      </c>
      <c r="G332" s="31">
        <v>0</v>
      </c>
      <c r="H332" s="31">
        <v>0</v>
      </c>
      <c r="I332" s="31">
        <v>0</v>
      </c>
      <c r="J332" s="31">
        <f t="shared" si="22"/>
        <v>950000</v>
      </c>
      <c r="K332" s="247">
        <f t="shared" si="23"/>
        <v>2.6447661469933183E-2</v>
      </c>
    </row>
    <row r="333" spans="1:11" s="5" customFormat="1" x14ac:dyDescent="0.2">
      <c r="A333" s="99">
        <v>4413</v>
      </c>
      <c r="B333" s="100"/>
      <c r="C333" s="101" t="s">
        <v>707</v>
      </c>
      <c r="D333" s="102" t="s">
        <v>708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f t="shared" si="22"/>
        <v>0</v>
      </c>
      <c r="K333" s="247">
        <f t="shared" si="23"/>
        <v>0</v>
      </c>
    </row>
    <row r="334" spans="1:11" s="5" customFormat="1" x14ac:dyDescent="0.2">
      <c r="A334" s="99">
        <v>4414</v>
      </c>
      <c r="B334" s="100"/>
      <c r="C334" s="101" t="s">
        <v>709</v>
      </c>
      <c r="D334" s="102" t="s">
        <v>710</v>
      </c>
      <c r="E334" s="31">
        <v>292132</v>
      </c>
      <c r="F334" s="31">
        <v>0</v>
      </c>
      <c r="G334" s="31">
        <v>0</v>
      </c>
      <c r="H334" s="31">
        <v>0</v>
      </c>
      <c r="I334" s="31">
        <v>0</v>
      </c>
      <c r="J334" s="31">
        <f t="shared" si="22"/>
        <v>292132</v>
      </c>
      <c r="K334" s="247">
        <f t="shared" si="23"/>
        <v>8.1328507795100213E-3</v>
      </c>
    </row>
    <row r="335" spans="1:11" customFormat="1" x14ac:dyDescent="0.2">
      <c r="A335" s="99"/>
      <c r="B335" s="100"/>
      <c r="C335" s="101"/>
      <c r="D335" s="102"/>
      <c r="E335" s="31"/>
      <c r="F335" s="31"/>
      <c r="G335" s="31"/>
      <c r="H335" s="31"/>
      <c r="I335" s="31"/>
      <c r="J335" s="31"/>
      <c r="K335" s="247"/>
    </row>
    <row r="336" spans="1:11" s="5" customFormat="1" x14ac:dyDescent="0.2">
      <c r="A336" s="99">
        <v>442</v>
      </c>
      <c r="B336" s="100"/>
      <c r="C336" s="101" t="s">
        <v>711</v>
      </c>
      <c r="D336" s="102" t="s">
        <v>712</v>
      </c>
      <c r="E336" s="31">
        <f>E337+E338</f>
        <v>0</v>
      </c>
      <c r="F336" s="31">
        <f>F337+F338</f>
        <v>0</v>
      </c>
      <c r="G336" s="31">
        <f>G337+G338</f>
        <v>0</v>
      </c>
      <c r="H336" s="31">
        <f>H337+H338</f>
        <v>0</v>
      </c>
      <c r="I336" s="31">
        <f>I337+I338</f>
        <v>0</v>
      </c>
      <c r="J336" s="31">
        <f>E336+F336+G336+H336-I336</f>
        <v>0</v>
      </c>
      <c r="K336" s="247">
        <f>J336/J$142*100</f>
        <v>0</v>
      </c>
    </row>
    <row r="337" spans="1:11" s="5" customFormat="1" x14ac:dyDescent="0.2">
      <c r="A337" s="99">
        <v>4420</v>
      </c>
      <c r="B337" s="100"/>
      <c r="C337" s="101" t="s">
        <v>713</v>
      </c>
      <c r="D337" s="102" t="s">
        <v>714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f>E337+F337+G337+H337-I337</f>
        <v>0</v>
      </c>
      <c r="K337" s="247">
        <f>J337/J$142*100</f>
        <v>0</v>
      </c>
    </row>
    <row r="338" spans="1:11" s="5" customFormat="1" x14ac:dyDescent="0.2">
      <c r="A338" s="99">
        <v>4421</v>
      </c>
      <c r="B338" s="100"/>
      <c r="C338" s="101" t="s">
        <v>715</v>
      </c>
      <c r="D338" s="102" t="s">
        <v>716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f>E338+F338+G338+H338-I338</f>
        <v>0</v>
      </c>
      <c r="K338" s="247">
        <f>J338/J$142*100</f>
        <v>0</v>
      </c>
    </row>
    <row r="339" spans="1:11" customFormat="1" ht="15.75" thickBot="1" x14ac:dyDescent="0.25">
      <c r="A339" s="310"/>
      <c r="B339" s="320"/>
      <c r="C339" s="358"/>
      <c r="D339" s="351"/>
      <c r="E339" s="35"/>
      <c r="F339" s="35"/>
      <c r="G339" s="35"/>
      <c r="H339" s="35"/>
      <c r="I339" s="35"/>
      <c r="J339" s="35"/>
      <c r="K339" s="271"/>
    </row>
    <row r="340" spans="1:11" customFormat="1" ht="16.5" thickTop="1" thickBot="1" x14ac:dyDescent="0.25">
      <c r="A340" s="311"/>
      <c r="B340" s="321"/>
      <c r="C340" s="371"/>
      <c r="D340" s="352"/>
      <c r="E340" s="36"/>
      <c r="F340" s="36"/>
      <c r="G340" s="36"/>
      <c r="H340" s="36"/>
      <c r="I340" s="36"/>
      <c r="J340" s="36"/>
      <c r="K340" s="300"/>
    </row>
    <row r="341" spans="1:11" s="6" customFormat="1" ht="17.25" thickTop="1" thickBot="1" x14ac:dyDescent="0.3">
      <c r="A341" s="13"/>
      <c r="B341" s="18" t="s">
        <v>717</v>
      </c>
      <c r="C341" s="361" t="s">
        <v>718</v>
      </c>
      <c r="D341" s="350" t="s">
        <v>810</v>
      </c>
      <c r="E341" s="30">
        <f t="shared" ref="E341:J341" si="24">E297-E318</f>
        <v>-3011717</v>
      </c>
      <c r="F341" s="30">
        <f t="shared" si="24"/>
        <v>-300000</v>
      </c>
      <c r="G341" s="30">
        <f t="shared" si="24"/>
        <v>0</v>
      </c>
      <c r="H341" s="30">
        <f t="shared" si="24"/>
        <v>749766</v>
      </c>
      <c r="I341" s="30">
        <f t="shared" si="24"/>
        <v>718465</v>
      </c>
      <c r="J341" s="46">
        <f t="shared" si="24"/>
        <v>-3280416</v>
      </c>
      <c r="K341" s="275">
        <f>J341/J$142*100</f>
        <v>-9.1325612472160353E-2</v>
      </c>
    </row>
    <row r="342" spans="1:11" s="6" customFormat="1" ht="16.5" thickTop="1" x14ac:dyDescent="0.25">
      <c r="A342" s="13"/>
      <c r="B342" s="18"/>
      <c r="C342" s="361" t="s">
        <v>719</v>
      </c>
      <c r="D342" s="350" t="s">
        <v>720</v>
      </c>
      <c r="E342" s="30"/>
      <c r="F342" s="30"/>
      <c r="G342" s="30"/>
      <c r="H342" s="30"/>
      <c r="I342" s="30"/>
      <c r="J342" s="15"/>
      <c r="K342" s="301"/>
    </row>
    <row r="343" spans="1:11" s="6" customFormat="1" ht="15.75" x14ac:dyDescent="0.25">
      <c r="A343" s="88"/>
      <c r="B343" s="89"/>
      <c r="C343" s="90" t="s">
        <v>721</v>
      </c>
      <c r="D343" s="91"/>
      <c r="E343" s="32"/>
      <c r="F343" s="32"/>
      <c r="G343" s="32"/>
      <c r="H343" s="32"/>
      <c r="I343" s="32"/>
      <c r="J343" s="29"/>
      <c r="K343" s="252"/>
    </row>
    <row r="344" spans="1:11" customFormat="1" ht="15.75" thickBot="1" x14ac:dyDescent="0.25">
      <c r="A344" s="310"/>
      <c r="B344" s="320"/>
      <c r="C344" s="358"/>
      <c r="D344" s="351"/>
      <c r="E344" s="35"/>
      <c r="F344" s="35"/>
      <c r="G344" s="35"/>
      <c r="H344" s="35"/>
      <c r="I344" s="35"/>
      <c r="J344" s="35"/>
      <c r="K344" s="271"/>
    </row>
    <row r="345" spans="1:11" customFormat="1" ht="15.75" thickTop="1" x14ac:dyDescent="0.2">
      <c r="A345" s="311"/>
      <c r="B345" s="321"/>
      <c r="C345" s="371"/>
      <c r="D345" s="352"/>
      <c r="E345" s="36"/>
      <c r="F345" s="36"/>
      <c r="G345" s="36"/>
      <c r="H345" s="36"/>
      <c r="I345" s="36"/>
      <c r="J345" s="36"/>
      <c r="K345" s="299"/>
    </row>
    <row r="346" spans="1:11" s="6" customFormat="1" ht="15.75" x14ac:dyDescent="0.25">
      <c r="A346" s="13"/>
      <c r="B346" s="18" t="s">
        <v>722</v>
      </c>
      <c r="C346" s="361" t="s">
        <v>723</v>
      </c>
      <c r="D346" s="350" t="s">
        <v>724</v>
      </c>
      <c r="E346" s="30">
        <f t="shared" ref="E346:J346" si="25">E268+E341</f>
        <v>-32791717</v>
      </c>
      <c r="F346" s="30">
        <f t="shared" si="25"/>
        <v>9170621</v>
      </c>
      <c r="G346" s="30">
        <f t="shared" si="25"/>
        <v>-11777100</v>
      </c>
      <c r="H346" s="30">
        <f t="shared" si="25"/>
        <v>-1250234</v>
      </c>
      <c r="I346" s="30">
        <f t="shared" si="25"/>
        <v>670823</v>
      </c>
      <c r="J346" s="30">
        <f t="shared" si="25"/>
        <v>-37319253</v>
      </c>
      <c r="K346" s="269">
        <f>J346/J$142*100</f>
        <v>-1.0389547048997774</v>
      </c>
    </row>
    <row r="347" spans="1:11" s="6" customFormat="1" ht="15.75" x14ac:dyDescent="0.25">
      <c r="A347" s="13"/>
      <c r="B347" s="18"/>
      <c r="C347" s="361" t="s">
        <v>725</v>
      </c>
      <c r="D347" s="350" t="s">
        <v>726</v>
      </c>
      <c r="E347" s="30"/>
      <c r="F347" s="30"/>
      <c r="G347" s="30"/>
      <c r="H347" s="30"/>
      <c r="I347" s="30"/>
      <c r="J347" s="15"/>
      <c r="K347" s="270"/>
    </row>
    <row r="348" spans="1:11" s="6" customFormat="1" ht="15.75" x14ac:dyDescent="0.25">
      <c r="A348" s="88"/>
      <c r="B348" s="89"/>
      <c r="C348" s="90" t="s">
        <v>727</v>
      </c>
      <c r="D348" s="91" t="s">
        <v>728</v>
      </c>
      <c r="E348" s="32"/>
      <c r="F348" s="32"/>
      <c r="G348" s="32"/>
      <c r="H348" s="32"/>
      <c r="I348" s="32"/>
      <c r="J348" s="32"/>
      <c r="K348" s="252"/>
    </row>
    <row r="349" spans="1:11" customFormat="1" ht="15.75" thickBot="1" x14ac:dyDescent="0.25">
      <c r="A349" s="312"/>
      <c r="B349" s="322"/>
      <c r="C349" s="372"/>
      <c r="D349" s="354" t="s">
        <v>729</v>
      </c>
      <c r="E349" s="38"/>
      <c r="F349" s="38"/>
      <c r="G349" s="38"/>
      <c r="H349" s="38"/>
      <c r="I349" s="38"/>
      <c r="J349" s="38"/>
      <c r="K349" s="303"/>
    </row>
    <row r="350" spans="1:11" s="343" customFormat="1" ht="15.75" thickTop="1" x14ac:dyDescent="0.2">
      <c r="A350" s="313"/>
      <c r="B350" s="313"/>
      <c r="C350" s="59"/>
      <c r="D350" s="59"/>
      <c r="E350" s="40"/>
      <c r="F350" s="40"/>
      <c r="G350" s="40"/>
      <c r="H350" s="40"/>
      <c r="I350" s="40"/>
      <c r="J350" s="40"/>
      <c r="K350" s="40"/>
    </row>
    <row r="351" spans="1:11" s="343" customFormat="1" x14ac:dyDescent="0.2">
      <c r="A351" s="52"/>
      <c r="B351" s="52"/>
      <c r="C351" s="12"/>
      <c r="D351" s="12"/>
      <c r="E351" s="4"/>
      <c r="F351" s="4"/>
      <c r="G351" s="4"/>
      <c r="H351" s="4"/>
      <c r="I351" s="4"/>
      <c r="J351" s="4"/>
      <c r="K351" s="4"/>
    </row>
    <row r="352" spans="1:11" s="343" customFormat="1" x14ac:dyDescent="0.2">
      <c r="A352" s="52"/>
      <c r="B352" s="52"/>
      <c r="C352" s="12"/>
      <c r="D352" s="12"/>
      <c r="E352" s="4"/>
      <c r="F352" s="4"/>
      <c r="G352" s="4"/>
      <c r="H352" s="4"/>
      <c r="I352" s="4"/>
      <c r="J352" s="4"/>
      <c r="K352" s="4"/>
    </row>
    <row r="353" spans="1:11" s="348" customFormat="1" ht="23.25" x14ac:dyDescent="0.35">
      <c r="A353" s="201"/>
      <c r="B353" s="262" t="s">
        <v>791</v>
      </c>
      <c r="C353" s="262" t="s">
        <v>792</v>
      </c>
      <c r="D353" s="262" t="s">
        <v>844</v>
      </c>
      <c r="E353" s="263"/>
      <c r="F353" s="263"/>
      <c r="G353" s="263"/>
      <c r="H353" s="263"/>
      <c r="I353" s="9"/>
      <c r="J353" s="9"/>
      <c r="K353" s="9"/>
    </row>
    <row r="354" spans="1:11" s="343" customFormat="1" x14ac:dyDescent="0.2">
      <c r="A354" s="52"/>
      <c r="B354" s="52"/>
      <c r="C354" s="12"/>
      <c r="D354" s="12"/>
      <c r="E354" s="4"/>
      <c r="F354" s="4"/>
      <c r="G354" s="4"/>
      <c r="H354" s="4"/>
      <c r="I354" s="4"/>
      <c r="J354" s="4"/>
      <c r="K354" s="4"/>
    </row>
    <row r="355" spans="1:11" s="344" customFormat="1" ht="16.5" thickBot="1" x14ac:dyDescent="0.3">
      <c r="A355" s="305"/>
      <c r="B355" s="305"/>
      <c r="C355" s="346"/>
      <c r="D355" s="346"/>
      <c r="E355" s="241"/>
      <c r="F355" s="241"/>
      <c r="G355" s="241"/>
      <c r="H355" s="241"/>
      <c r="I355" s="55" t="s">
        <v>208</v>
      </c>
      <c r="J355" s="55"/>
      <c r="K355" s="241"/>
    </row>
    <row r="356" spans="1:11" customFormat="1" ht="16.5" thickTop="1" x14ac:dyDescent="0.25">
      <c r="A356" s="306"/>
      <c r="B356" s="317"/>
      <c r="C356" s="347"/>
      <c r="D356" s="373"/>
      <c r="E356" s="334"/>
      <c r="F356" s="335"/>
      <c r="G356" s="335"/>
      <c r="H356" s="335"/>
      <c r="I356" s="335"/>
      <c r="J356" s="339"/>
      <c r="K356" s="276"/>
    </row>
    <row r="357" spans="1:11" customFormat="1" ht="20.25" x14ac:dyDescent="0.3">
      <c r="A357" s="307"/>
      <c r="B357" s="242"/>
      <c r="C357" s="345"/>
      <c r="D357" s="374"/>
      <c r="E357" s="336" t="s">
        <v>807</v>
      </c>
      <c r="F357" s="337"/>
      <c r="G357" s="337"/>
      <c r="H357" s="337"/>
      <c r="I357" s="337"/>
      <c r="J357" s="340"/>
      <c r="K357" s="277" t="s">
        <v>209</v>
      </c>
    </row>
    <row r="358" spans="1:11" customFormat="1" ht="15.75" x14ac:dyDescent="0.25">
      <c r="A358" s="307"/>
      <c r="B358" s="242"/>
      <c r="C358" s="345"/>
      <c r="D358" s="374"/>
      <c r="E358" s="278"/>
      <c r="F358" s="279"/>
      <c r="G358" s="280"/>
      <c r="H358" s="281"/>
      <c r="I358" s="282" t="s">
        <v>210</v>
      </c>
      <c r="J358" s="282" t="s">
        <v>211</v>
      </c>
      <c r="K358" s="277" t="s">
        <v>212</v>
      </c>
    </row>
    <row r="359" spans="1:11" customFormat="1" ht="15.75" x14ac:dyDescent="0.25">
      <c r="A359" s="329" t="s">
        <v>213</v>
      </c>
      <c r="B359" s="242"/>
      <c r="C359" s="345"/>
      <c r="D359" s="374"/>
      <c r="E359" s="283" t="s">
        <v>214</v>
      </c>
      <c r="F359" s="284" t="s">
        <v>215</v>
      </c>
      <c r="G359" s="288" t="s">
        <v>216</v>
      </c>
      <c r="H359" s="289" t="s">
        <v>217</v>
      </c>
      <c r="I359" s="285" t="s">
        <v>218</v>
      </c>
      <c r="J359" s="285" t="s">
        <v>219</v>
      </c>
      <c r="K359" s="277" t="s">
        <v>220</v>
      </c>
    </row>
    <row r="360" spans="1:11" customFormat="1" ht="15.75" x14ac:dyDescent="0.25">
      <c r="A360" s="307"/>
      <c r="B360" s="242"/>
      <c r="C360" s="345"/>
      <c r="D360" s="374"/>
      <c r="E360" s="283" t="s">
        <v>221</v>
      </c>
      <c r="F360" s="284" t="s">
        <v>222</v>
      </c>
      <c r="G360" s="288"/>
      <c r="H360" s="289"/>
      <c r="I360" s="294" t="s">
        <v>223</v>
      </c>
      <c r="J360" s="285" t="s">
        <v>224</v>
      </c>
      <c r="K360" s="277" t="s">
        <v>225</v>
      </c>
    </row>
    <row r="361" spans="1:11" customFormat="1" ht="16.5" thickBot="1" x14ac:dyDescent="0.3">
      <c r="A361" s="308"/>
      <c r="B361" s="243"/>
      <c r="C361" s="346"/>
      <c r="D361" s="375"/>
      <c r="E361" s="290"/>
      <c r="F361" s="291"/>
      <c r="G361" s="292"/>
      <c r="H361" s="293"/>
      <c r="I361" s="295" t="s">
        <v>226</v>
      </c>
      <c r="J361" s="286"/>
      <c r="K361" s="287" t="s">
        <v>228</v>
      </c>
    </row>
    <row r="362" spans="1:11" customFormat="1" ht="16.5" thickTop="1" thickBot="1" x14ac:dyDescent="0.25">
      <c r="A362" s="57"/>
      <c r="B362" s="58"/>
      <c r="C362" s="59"/>
      <c r="D362" s="60"/>
      <c r="E362" s="260" t="s">
        <v>229</v>
      </c>
      <c r="F362" s="260" t="s">
        <v>230</v>
      </c>
      <c r="G362" s="260" t="s">
        <v>231</v>
      </c>
      <c r="H362" s="260" t="s">
        <v>232</v>
      </c>
      <c r="I362" s="260" t="s">
        <v>233</v>
      </c>
      <c r="J362" s="260" t="s">
        <v>234</v>
      </c>
      <c r="K362" s="272"/>
    </row>
    <row r="363" spans="1:11" s="6" customFormat="1" ht="17.25" thickTop="1" thickBot="1" x14ac:dyDescent="0.3">
      <c r="A363" s="13"/>
      <c r="B363" s="18" t="s">
        <v>722</v>
      </c>
      <c r="C363" s="361" t="s">
        <v>730</v>
      </c>
      <c r="D363" s="350" t="s">
        <v>731</v>
      </c>
      <c r="E363" s="30">
        <v>108276331</v>
      </c>
      <c r="F363" s="30">
        <f>F365+F374</f>
        <v>1800000</v>
      </c>
      <c r="G363" s="30">
        <f>G365+G374</f>
        <v>16700000</v>
      </c>
      <c r="H363" s="30">
        <v>0</v>
      </c>
      <c r="I363" s="30">
        <v>0</v>
      </c>
      <c r="J363" s="46">
        <f>E363+F363+G363+H363</f>
        <v>126776331</v>
      </c>
      <c r="K363" s="275">
        <f>J363/J$142*100</f>
        <v>3.5294078786191534</v>
      </c>
    </row>
    <row r="364" spans="1:11" customFormat="1" ht="15.75" thickTop="1" x14ac:dyDescent="0.2">
      <c r="A364" s="99"/>
      <c r="B364" s="100"/>
      <c r="C364" s="101"/>
      <c r="D364" s="101"/>
      <c r="E364" s="31"/>
      <c r="F364" s="31"/>
      <c r="G364" s="31"/>
      <c r="H364" s="31"/>
      <c r="I364" s="31"/>
      <c r="J364" s="31"/>
      <c r="K364" s="299"/>
    </row>
    <row r="365" spans="1:11" s="5" customFormat="1" x14ac:dyDescent="0.2">
      <c r="A365" s="99">
        <v>500</v>
      </c>
      <c r="B365" s="100"/>
      <c r="C365" s="101" t="s">
        <v>732</v>
      </c>
      <c r="D365" s="102" t="s">
        <v>733</v>
      </c>
      <c r="E365" s="202" t="s">
        <v>811</v>
      </c>
      <c r="F365" s="31">
        <f>+F368</f>
        <v>1800000</v>
      </c>
      <c r="G365" s="31">
        <f>G368</f>
        <v>16700000</v>
      </c>
      <c r="H365" s="31"/>
      <c r="I365" s="31"/>
      <c r="J365" s="202" t="s">
        <v>811</v>
      </c>
      <c r="K365" s="247"/>
    </row>
    <row r="366" spans="1:11" customFormat="1" x14ac:dyDescent="0.2">
      <c r="A366" s="99"/>
      <c r="B366" s="100"/>
      <c r="C366" s="101"/>
      <c r="D366" s="102"/>
      <c r="E366" s="31"/>
      <c r="F366" s="31"/>
      <c r="G366" s="31"/>
      <c r="H366" s="31"/>
      <c r="I366" s="31"/>
      <c r="J366" s="202" t="s">
        <v>845</v>
      </c>
      <c r="K366" s="248"/>
    </row>
    <row r="367" spans="1:11" s="5" customFormat="1" x14ac:dyDescent="0.2">
      <c r="A367" s="99">
        <v>5000</v>
      </c>
      <c r="B367" s="100"/>
      <c r="C367" s="101" t="s">
        <v>734</v>
      </c>
      <c r="D367" s="102" t="s">
        <v>735</v>
      </c>
      <c r="E367" s="31"/>
      <c r="F367" s="31"/>
      <c r="G367" s="31"/>
      <c r="H367" s="31"/>
      <c r="I367" s="31"/>
      <c r="J367" s="202" t="s">
        <v>845</v>
      </c>
      <c r="K367" s="247"/>
    </row>
    <row r="368" spans="1:11" s="5" customFormat="1" x14ac:dyDescent="0.2">
      <c r="A368" s="99">
        <v>5001</v>
      </c>
      <c r="B368" s="100"/>
      <c r="C368" s="101" t="s">
        <v>736</v>
      </c>
      <c r="D368" s="102" t="s">
        <v>737</v>
      </c>
      <c r="E368" s="31"/>
      <c r="F368" s="31">
        <v>1800000</v>
      </c>
      <c r="G368" s="31">
        <f>8900000+7800000</f>
        <v>16700000</v>
      </c>
      <c r="H368" s="31"/>
      <c r="I368" s="31"/>
      <c r="J368" s="202" t="s">
        <v>845</v>
      </c>
      <c r="K368" s="247"/>
    </row>
    <row r="369" spans="1:11" s="5" customFormat="1" x14ac:dyDescent="0.2">
      <c r="A369" s="99">
        <v>5002</v>
      </c>
      <c r="B369" s="100"/>
      <c r="C369" s="101" t="s">
        <v>738</v>
      </c>
      <c r="D369" s="102" t="s">
        <v>739</v>
      </c>
      <c r="E369" s="31"/>
      <c r="F369" s="31"/>
      <c r="G369" s="31"/>
      <c r="H369" s="31"/>
      <c r="I369" s="31"/>
      <c r="J369" s="202" t="s">
        <v>845</v>
      </c>
      <c r="K369" s="247"/>
    </row>
    <row r="370" spans="1:11" s="5" customFormat="1" x14ac:dyDescent="0.2">
      <c r="A370" s="99">
        <v>5003</v>
      </c>
      <c r="B370" s="100"/>
      <c r="C370" s="101" t="s">
        <v>740</v>
      </c>
      <c r="D370" s="102" t="s">
        <v>741</v>
      </c>
      <c r="E370" s="31"/>
      <c r="F370" s="31"/>
      <c r="G370" s="31"/>
      <c r="H370" s="31"/>
      <c r="I370" s="31"/>
      <c r="J370" s="202" t="s">
        <v>845</v>
      </c>
      <c r="K370" s="247"/>
    </row>
    <row r="371" spans="1:11" s="5" customFormat="1" x14ac:dyDescent="0.2">
      <c r="A371" s="210">
        <v>500301</v>
      </c>
      <c r="B371" s="319"/>
      <c r="C371" s="357" t="s">
        <v>742</v>
      </c>
      <c r="D371" s="349" t="s">
        <v>743</v>
      </c>
      <c r="E371" s="31"/>
      <c r="F371" s="31"/>
      <c r="G371" s="31"/>
      <c r="H371" s="31"/>
      <c r="I371" s="31"/>
      <c r="J371" s="202" t="s">
        <v>845</v>
      </c>
      <c r="K371" s="247"/>
    </row>
    <row r="372" spans="1:11" s="5" customFormat="1" x14ac:dyDescent="0.2">
      <c r="A372" s="99">
        <v>5004</v>
      </c>
      <c r="B372" s="100"/>
      <c r="C372" s="101" t="s">
        <v>744</v>
      </c>
      <c r="D372" s="102" t="s">
        <v>745</v>
      </c>
      <c r="E372" s="31"/>
      <c r="F372" s="31"/>
      <c r="G372" s="31"/>
      <c r="H372" s="31"/>
      <c r="I372" s="31"/>
      <c r="J372" s="202" t="s">
        <v>845</v>
      </c>
      <c r="K372" s="247"/>
    </row>
    <row r="373" spans="1:11" customFormat="1" x14ac:dyDescent="0.2">
      <c r="A373" s="99"/>
      <c r="B373" s="100"/>
      <c r="C373" s="101"/>
      <c r="D373" s="102" t="s">
        <v>462</v>
      </c>
      <c r="E373" s="31"/>
      <c r="F373" s="31"/>
      <c r="G373" s="31"/>
      <c r="H373" s="31"/>
      <c r="I373" s="31"/>
      <c r="J373" s="202"/>
      <c r="K373" s="248"/>
    </row>
    <row r="374" spans="1:11" s="5" customFormat="1" x14ac:dyDescent="0.2">
      <c r="A374" s="99">
        <v>501</v>
      </c>
      <c r="B374" s="100"/>
      <c r="C374" s="101" t="s">
        <v>746</v>
      </c>
      <c r="D374" s="102" t="s">
        <v>747</v>
      </c>
      <c r="E374" s="202" t="s">
        <v>811</v>
      </c>
      <c r="F374" s="31">
        <v>0</v>
      </c>
      <c r="G374" s="31">
        <v>0</v>
      </c>
      <c r="H374" s="31">
        <v>0</v>
      </c>
      <c r="I374" s="31">
        <v>0</v>
      </c>
      <c r="J374" s="202" t="s">
        <v>811</v>
      </c>
      <c r="K374" s="247"/>
    </row>
    <row r="375" spans="1:11" customFormat="1" x14ac:dyDescent="0.2">
      <c r="A375" s="99"/>
      <c r="B375" s="100"/>
      <c r="C375" s="101"/>
      <c r="D375" s="102"/>
      <c r="E375" s="31"/>
      <c r="F375" s="31"/>
      <c r="G375" s="31"/>
      <c r="H375" s="31"/>
      <c r="I375" s="31"/>
      <c r="J375" s="202"/>
      <c r="K375" s="248"/>
    </row>
    <row r="376" spans="1:11" s="5" customFormat="1" x14ac:dyDescent="0.2">
      <c r="A376" s="99">
        <v>5010</v>
      </c>
      <c r="B376" s="100"/>
      <c r="C376" s="101" t="s">
        <v>748</v>
      </c>
      <c r="D376" s="102" t="s">
        <v>749</v>
      </c>
      <c r="E376" s="31"/>
      <c r="F376" s="31"/>
      <c r="G376" s="31"/>
      <c r="H376" s="31"/>
      <c r="I376" s="31"/>
      <c r="J376" s="202" t="s">
        <v>845</v>
      </c>
      <c r="K376" s="247"/>
    </row>
    <row r="377" spans="1:11" s="5" customFormat="1" x14ac:dyDescent="0.2">
      <c r="A377" s="99">
        <v>5011</v>
      </c>
      <c r="B377" s="100"/>
      <c r="C377" s="101" t="s">
        <v>750</v>
      </c>
      <c r="D377" s="102" t="s">
        <v>751</v>
      </c>
      <c r="E377" s="31"/>
      <c r="F377" s="31"/>
      <c r="G377" s="31"/>
      <c r="H377" s="31"/>
      <c r="I377" s="31"/>
      <c r="J377" s="202" t="s">
        <v>845</v>
      </c>
      <c r="K377" s="247"/>
    </row>
    <row r="378" spans="1:11" s="5" customFormat="1" x14ac:dyDescent="0.2">
      <c r="A378" s="99">
        <v>5012</v>
      </c>
      <c r="B378" s="100"/>
      <c r="C378" s="101" t="s">
        <v>752</v>
      </c>
      <c r="D378" s="102" t="s">
        <v>753</v>
      </c>
      <c r="E378" s="31"/>
      <c r="F378" s="31"/>
      <c r="G378" s="31"/>
      <c r="H378" s="31"/>
      <c r="I378" s="31"/>
      <c r="J378" s="202" t="s">
        <v>845</v>
      </c>
      <c r="K378" s="247"/>
    </row>
    <row r="379" spans="1:11" s="5" customFormat="1" x14ac:dyDescent="0.2">
      <c r="A379" s="99">
        <v>5013</v>
      </c>
      <c r="B379" s="100"/>
      <c r="C379" s="101" t="s">
        <v>754</v>
      </c>
      <c r="D379" s="102" t="s">
        <v>755</v>
      </c>
      <c r="E379" s="31"/>
      <c r="F379" s="31"/>
      <c r="G379" s="31"/>
      <c r="H379" s="31"/>
      <c r="I379" s="31"/>
      <c r="J379" s="202" t="s">
        <v>845</v>
      </c>
      <c r="K379" s="247"/>
    </row>
    <row r="380" spans="1:11" s="5" customFormat="1" x14ac:dyDescent="0.2">
      <c r="A380" s="99">
        <v>5014</v>
      </c>
      <c r="B380" s="100"/>
      <c r="C380" s="101" t="s">
        <v>744</v>
      </c>
      <c r="D380" s="102" t="s">
        <v>756</v>
      </c>
      <c r="E380" s="31"/>
      <c r="F380" s="31"/>
      <c r="G380" s="31"/>
      <c r="H380" s="31"/>
      <c r="I380" s="31"/>
      <c r="J380" s="202" t="s">
        <v>845</v>
      </c>
      <c r="K380" s="247"/>
    </row>
    <row r="381" spans="1:11" customFormat="1" ht="15.75" thickBot="1" x14ac:dyDescent="0.25">
      <c r="A381" s="362"/>
      <c r="B381" s="363"/>
      <c r="C381" s="364"/>
      <c r="D381" s="386"/>
      <c r="E381" s="366"/>
      <c r="F381" s="366"/>
      <c r="G381" s="366"/>
      <c r="H381" s="366"/>
      <c r="I381" s="366"/>
      <c r="J381" s="366"/>
      <c r="K381" s="405"/>
    </row>
    <row r="382" spans="1:11" customFormat="1" ht="16.5" thickTop="1" thickBot="1" x14ac:dyDescent="0.25">
      <c r="A382" s="311"/>
      <c r="B382" s="321"/>
      <c r="C382" s="371"/>
      <c r="D382" s="352"/>
      <c r="E382" s="36"/>
      <c r="F382" s="36"/>
      <c r="G382" s="36"/>
      <c r="H382" s="36"/>
      <c r="I382" s="36"/>
      <c r="J382" s="36"/>
      <c r="K382" s="300"/>
    </row>
    <row r="383" spans="1:11" s="6" customFormat="1" ht="17.25" thickTop="1" thickBot="1" x14ac:dyDescent="0.3">
      <c r="A383" s="13"/>
      <c r="B383" s="18" t="s">
        <v>801</v>
      </c>
      <c r="C383" s="361" t="s">
        <v>758</v>
      </c>
      <c r="D383" s="350" t="s">
        <v>759</v>
      </c>
      <c r="E383" s="30">
        <f t="shared" ref="E383:J383" si="26">E385+E394</f>
        <v>74484614</v>
      </c>
      <c r="F383" s="30">
        <f t="shared" si="26"/>
        <v>2500000</v>
      </c>
      <c r="G383" s="30">
        <f t="shared" si="26"/>
        <v>5000000</v>
      </c>
      <c r="H383" s="30">
        <f t="shared" si="26"/>
        <v>0</v>
      </c>
      <c r="I383" s="30">
        <f t="shared" si="26"/>
        <v>0</v>
      </c>
      <c r="J383" s="46">
        <f t="shared" si="26"/>
        <v>81984614</v>
      </c>
      <c r="K383" s="275">
        <f>J383/J$142*100</f>
        <v>2.2824224387527838</v>
      </c>
    </row>
    <row r="384" spans="1:11" customFormat="1" ht="15.75" thickTop="1" x14ac:dyDescent="0.2">
      <c r="A384" s="99"/>
      <c r="B384" s="100"/>
      <c r="C384" s="101"/>
      <c r="D384" s="102"/>
      <c r="E384" s="31"/>
      <c r="F384" s="31"/>
      <c r="G384" s="31"/>
      <c r="H384" s="31"/>
      <c r="I384" s="31"/>
      <c r="J384" s="31"/>
      <c r="K384" s="299"/>
    </row>
    <row r="385" spans="1:11" s="5" customFormat="1" x14ac:dyDescent="0.2">
      <c r="A385" s="99">
        <v>550</v>
      </c>
      <c r="B385" s="100"/>
      <c r="C385" s="101" t="s">
        <v>760</v>
      </c>
      <c r="D385" s="102" t="s">
        <v>761</v>
      </c>
      <c r="E385" s="31">
        <f t="shared" ref="E385:J385" si="27">SUM(E387:E392)</f>
        <v>57631517</v>
      </c>
      <c r="F385" s="31">
        <f t="shared" si="27"/>
        <v>2500000</v>
      </c>
      <c r="G385" s="31">
        <f t="shared" si="27"/>
        <v>5000000</v>
      </c>
      <c r="H385" s="31">
        <f t="shared" si="27"/>
        <v>0</v>
      </c>
      <c r="I385" s="31">
        <f t="shared" si="27"/>
        <v>0</v>
      </c>
      <c r="J385" s="31">
        <f t="shared" si="27"/>
        <v>65131517</v>
      </c>
      <c r="K385" s="247">
        <f>J385/J$142*100</f>
        <v>1.813238223830735</v>
      </c>
    </row>
    <row r="386" spans="1:11" customFormat="1" x14ac:dyDescent="0.2">
      <c r="A386" s="99"/>
      <c r="B386" s="100"/>
      <c r="C386" s="101"/>
      <c r="D386" s="102"/>
      <c r="E386" s="31"/>
      <c r="F386" s="31"/>
      <c r="G386" s="31"/>
      <c r="H386" s="31"/>
      <c r="I386" s="31"/>
      <c r="J386" s="31"/>
      <c r="K386" s="247"/>
    </row>
    <row r="387" spans="1:11" s="5" customFormat="1" x14ac:dyDescent="0.2">
      <c r="A387" s="99">
        <v>5500</v>
      </c>
      <c r="B387" s="100"/>
      <c r="C387" s="101" t="s">
        <v>762</v>
      </c>
      <c r="D387" s="102" t="s">
        <v>763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f>E387+F387+G387+H387</f>
        <v>0</v>
      </c>
      <c r="K387" s="247">
        <f t="shared" ref="K387:K392" si="28">J387/J$142*100</f>
        <v>0</v>
      </c>
    </row>
    <row r="388" spans="1:11" s="5" customFormat="1" x14ac:dyDescent="0.2">
      <c r="A388" s="99">
        <v>5501</v>
      </c>
      <c r="B388" s="100"/>
      <c r="C388" s="101" t="s">
        <v>764</v>
      </c>
      <c r="D388" s="102" t="s">
        <v>765</v>
      </c>
      <c r="E388" s="31">
        <v>23959345</v>
      </c>
      <c r="F388" s="31">
        <v>2100000</v>
      </c>
      <c r="G388" s="31">
        <v>5000000</v>
      </c>
      <c r="H388" s="31">
        <v>0</v>
      </c>
      <c r="I388" s="31">
        <v>0</v>
      </c>
      <c r="J388" s="31">
        <f>E388+F388+G388+H388</f>
        <v>31059345</v>
      </c>
      <c r="K388" s="247">
        <f t="shared" si="28"/>
        <v>0.86468109688195982</v>
      </c>
    </row>
    <row r="389" spans="1:11" s="5" customFormat="1" x14ac:dyDescent="0.2">
      <c r="A389" s="99">
        <v>5502</v>
      </c>
      <c r="B389" s="100"/>
      <c r="C389" s="101" t="s">
        <v>766</v>
      </c>
      <c r="D389" s="102" t="s">
        <v>767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f>E389+F389+G389+H389</f>
        <v>0</v>
      </c>
      <c r="K389" s="247">
        <f t="shared" si="28"/>
        <v>0</v>
      </c>
    </row>
    <row r="390" spans="1:11" s="5" customFormat="1" x14ac:dyDescent="0.2">
      <c r="A390" s="99">
        <v>5503</v>
      </c>
      <c r="B390" s="100"/>
      <c r="C390" s="101" t="s">
        <v>772</v>
      </c>
      <c r="D390" s="102" t="s">
        <v>773</v>
      </c>
      <c r="E390" s="31">
        <v>442887</v>
      </c>
      <c r="F390" s="31">
        <v>0</v>
      </c>
      <c r="G390" s="31">
        <v>0</v>
      </c>
      <c r="H390" s="31">
        <v>0</v>
      </c>
      <c r="I390" s="31">
        <v>0</v>
      </c>
      <c r="J390" s="31">
        <f>E390+F390+G390+H390</f>
        <v>442887</v>
      </c>
      <c r="K390" s="247">
        <f t="shared" si="28"/>
        <v>1.2329816258351892E-2</v>
      </c>
    </row>
    <row r="391" spans="1:11" s="5" customFormat="1" x14ac:dyDescent="0.2">
      <c r="A391" s="210">
        <v>5505</v>
      </c>
      <c r="B391" s="319"/>
      <c r="C391" s="357" t="s">
        <v>802</v>
      </c>
      <c r="D391" s="349" t="s">
        <v>774</v>
      </c>
      <c r="E391" s="33">
        <v>0</v>
      </c>
      <c r="F391" s="33">
        <v>0</v>
      </c>
      <c r="G391" s="33">
        <v>0</v>
      </c>
      <c r="H391" s="33">
        <v>0</v>
      </c>
      <c r="I391" s="33">
        <f>E391+F391+G391+H391</f>
        <v>0</v>
      </c>
      <c r="J391" s="33">
        <f>E391+F391+G391+H391-I391</f>
        <v>0</v>
      </c>
      <c r="K391" s="261">
        <f t="shared" si="28"/>
        <v>0</v>
      </c>
    </row>
    <row r="392" spans="1:11" s="5" customFormat="1" x14ac:dyDescent="0.2">
      <c r="A392" s="99">
        <v>5504</v>
      </c>
      <c r="B392" s="100"/>
      <c r="C392" s="101" t="s">
        <v>775</v>
      </c>
      <c r="D392" s="102" t="s">
        <v>776</v>
      </c>
      <c r="E392" s="31">
        <v>33229285</v>
      </c>
      <c r="F392" s="31">
        <v>400000</v>
      </c>
      <c r="G392" s="31"/>
      <c r="H392" s="31"/>
      <c r="I392" s="31"/>
      <c r="J392" s="31">
        <f>E392+F392+G392+H392</f>
        <v>33629285</v>
      </c>
      <c r="K392" s="247">
        <f t="shared" si="28"/>
        <v>0.93622731069042309</v>
      </c>
    </row>
    <row r="393" spans="1:11" customFormat="1" x14ac:dyDescent="0.2">
      <c r="A393" s="99"/>
      <c r="B393" s="100"/>
      <c r="C393" s="101"/>
      <c r="D393" s="102"/>
      <c r="E393" s="31"/>
      <c r="F393" s="31"/>
      <c r="G393" s="31"/>
      <c r="H393" s="31"/>
      <c r="I393" s="31"/>
      <c r="J393" s="31"/>
      <c r="K393" s="248"/>
    </row>
    <row r="394" spans="1:11" s="5" customFormat="1" x14ac:dyDescent="0.2">
      <c r="A394" s="99">
        <v>551</v>
      </c>
      <c r="B394" s="100"/>
      <c r="C394" s="101" t="s">
        <v>777</v>
      </c>
      <c r="D394" s="102" t="s">
        <v>778</v>
      </c>
      <c r="E394" s="31">
        <f t="shared" ref="E394:J394" si="29">SUM(E396:E399)</f>
        <v>16853097</v>
      </c>
      <c r="F394" s="31">
        <f t="shared" si="29"/>
        <v>0</v>
      </c>
      <c r="G394" s="31">
        <f t="shared" si="29"/>
        <v>0</v>
      </c>
      <c r="H394" s="31">
        <f t="shared" si="29"/>
        <v>0</v>
      </c>
      <c r="I394" s="31">
        <f t="shared" si="29"/>
        <v>0</v>
      </c>
      <c r="J394" s="31">
        <f t="shared" si="29"/>
        <v>16853097</v>
      </c>
      <c r="K394" s="247">
        <f>J394/J$142*100</f>
        <v>0.46918421492204898</v>
      </c>
    </row>
    <row r="395" spans="1:11" customFormat="1" x14ac:dyDescent="0.2">
      <c r="A395" s="99"/>
      <c r="B395" s="100"/>
      <c r="C395" s="101"/>
      <c r="D395" s="102"/>
      <c r="E395" s="31"/>
      <c r="F395" s="31"/>
      <c r="G395" s="31"/>
      <c r="H395" s="31"/>
      <c r="I395" s="31"/>
      <c r="J395" s="31"/>
      <c r="K395" s="247"/>
    </row>
    <row r="396" spans="1:11" s="5" customFormat="1" x14ac:dyDescent="0.2">
      <c r="A396" s="99">
        <v>5510</v>
      </c>
      <c r="B396" s="100"/>
      <c r="C396" s="101" t="s">
        <v>779</v>
      </c>
      <c r="D396" s="102" t="s">
        <v>780</v>
      </c>
      <c r="E396" s="31">
        <v>4067405</v>
      </c>
      <c r="F396" s="31">
        <v>0</v>
      </c>
      <c r="G396" s="31">
        <v>0</v>
      </c>
      <c r="H396" s="31">
        <v>0</v>
      </c>
      <c r="I396" s="31">
        <v>0</v>
      </c>
      <c r="J396" s="31">
        <f>E396+F396+G396+H396</f>
        <v>4067405</v>
      </c>
      <c r="K396" s="247">
        <f>J396/J$142*100</f>
        <v>0.11323510579064588</v>
      </c>
    </row>
    <row r="397" spans="1:11" s="5" customFormat="1" x14ac:dyDescent="0.2">
      <c r="A397" s="99">
        <v>5511</v>
      </c>
      <c r="B397" s="100"/>
      <c r="C397" s="101" t="s">
        <v>781</v>
      </c>
      <c r="D397" s="102" t="s">
        <v>782</v>
      </c>
      <c r="E397" s="31">
        <v>5737221</v>
      </c>
      <c r="F397" s="31">
        <v>0</v>
      </c>
      <c r="G397" s="31">
        <v>0</v>
      </c>
      <c r="H397" s="31">
        <v>0</v>
      </c>
      <c r="I397" s="31">
        <v>0</v>
      </c>
      <c r="J397" s="31">
        <f>E397+F397+G397+H397</f>
        <v>5737221</v>
      </c>
      <c r="K397" s="247">
        <f>J397/J$142*100</f>
        <v>0.1597221881959911</v>
      </c>
    </row>
    <row r="398" spans="1:11" s="5" customFormat="1" x14ac:dyDescent="0.2">
      <c r="A398" s="99">
        <v>5512</v>
      </c>
      <c r="B398" s="100"/>
      <c r="C398" s="101" t="s">
        <v>783</v>
      </c>
      <c r="D398" s="102" t="s">
        <v>784</v>
      </c>
      <c r="E398" s="31">
        <v>4012000</v>
      </c>
      <c r="F398" s="31">
        <v>0</v>
      </c>
      <c r="G398" s="31">
        <v>0</v>
      </c>
      <c r="H398" s="31">
        <v>0</v>
      </c>
      <c r="I398" s="31">
        <v>0</v>
      </c>
      <c r="J398" s="31">
        <f>E398+F398+G398+H398</f>
        <v>4012000</v>
      </c>
      <c r="K398" s="247">
        <f>J398/J$142*100</f>
        <v>0.11169265033407572</v>
      </c>
    </row>
    <row r="399" spans="1:11" s="5" customFormat="1" x14ac:dyDescent="0.2">
      <c r="A399" s="99">
        <v>5513</v>
      </c>
      <c r="B399" s="100"/>
      <c r="C399" s="101" t="s">
        <v>785</v>
      </c>
      <c r="D399" s="102" t="s">
        <v>786</v>
      </c>
      <c r="E399" s="31">
        <v>3036471</v>
      </c>
      <c r="F399" s="31">
        <v>0</v>
      </c>
      <c r="G399" s="31">
        <v>0</v>
      </c>
      <c r="H399" s="31">
        <v>0</v>
      </c>
      <c r="I399" s="31">
        <v>0</v>
      </c>
      <c r="J399" s="31">
        <f>E399+F399+G399+H399</f>
        <v>3036471</v>
      </c>
      <c r="K399" s="247">
        <f>J399/J$142*100</f>
        <v>8.4534270601336309E-2</v>
      </c>
    </row>
    <row r="400" spans="1:11" customFormat="1" ht="15.75" thickBot="1" x14ac:dyDescent="0.25">
      <c r="A400" s="310"/>
      <c r="B400" s="320"/>
      <c r="C400" s="358"/>
      <c r="D400" s="351"/>
      <c r="E400" s="35"/>
      <c r="F400" s="35"/>
      <c r="G400" s="35"/>
      <c r="H400" s="35"/>
      <c r="I400" s="35"/>
      <c r="J400" s="35"/>
      <c r="K400" s="253"/>
    </row>
    <row r="401" spans="1:11" s="6" customFormat="1" ht="17.25" thickTop="1" thickBot="1" x14ac:dyDescent="0.3">
      <c r="A401" s="315"/>
      <c r="B401" s="324" t="s">
        <v>803</v>
      </c>
      <c r="C401" s="367" t="s">
        <v>789</v>
      </c>
      <c r="D401" s="392" t="s">
        <v>790</v>
      </c>
      <c r="E401" s="41"/>
      <c r="F401" s="41"/>
      <c r="G401" s="41"/>
      <c r="H401" s="41"/>
      <c r="I401" s="41"/>
      <c r="J401" s="41"/>
      <c r="K401" s="403"/>
    </row>
    <row r="402" spans="1:11" s="6" customFormat="1" ht="17.25" thickTop="1" thickBot="1" x14ac:dyDescent="0.3">
      <c r="A402" s="394"/>
      <c r="B402" s="395"/>
      <c r="C402" s="396" t="s">
        <v>804</v>
      </c>
      <c r="D402" s="397" t="s">
        <v>812</v>
      </c>
      <c r="E402" s="398">
        <f t="shared" ref="E402:J402" si="30">E22+E297+E363-E145-E318-E383</f>
        <v>1000000</v>
      </c>
      <c r="F402" s="398">
        <f t="shared" si="30"/>
        <v>8470621</v>
      </c>
      <c r="G402" s="398">
        <f t="shared" si="30"/>
        <v>-77100</v>
      </c>
      <c r="H402" s="398">
        <f t="shared" si="30"/>
        <v>-1250234</v>
      </c>
      <c r="I402" s="398">
        <f t="shared" si="30"/>
        <v>670823</v>
      </c>
      <c r="J402" s="399">
        <f t="shared" si="30"/>
        <v>7472464</v>
      </c>
      <c r="K402" s="401">
        <f>J402/J$142*100</f>
        <v>0.20803073496659241</v>
      </c>
    </row>
    <row r="403" spans="1:11" s="6" customFormat="1" ht="16.5" thickTop="1" x14ac:dyDescent="0.25">
      <c r="A403" s="315"/>
      <c r="B403" s="324"/>
      <c r="C403" s="367"/>
      <c r="D403" s="392"/>
      <c r="E403" s="41"/>
      <c r="F403" s="41"/>
      <c r="G403" s="41"/>
      <c r="H403" s="41"/>
      <c r="I403" s="41"/>
      <c r="J403" s="400"/>
      <c r="K403" s="401"/>
    </row>
    <row r="404" spans="1:11" s="6" customFormat="1" ht="16.5" thickBot="1" x14ac:dyDescent="0.3">
      <c r="A404" s="333"/>
      <c r="B404" s="325" t="s">
        <v>787</v>
      </c>
      <c r="C404" s="378" t="s">
        <v>805</v>
      </c>
      <c r="D404" s="369" t="s">
        <v>813</v>
      </c>
      <c r="E404" s="42">
        <f t="shared" ref="E404:J404" si="31">E341+E363-E383-E402</f>
        <v>29780000</v>
      </c>
      <c r="F404" s="42">
        <f t="shared" si="31"/>
        <v>-9470621</v>
      </c>
      <c r="G404" s="42">
        <f t="shared" si="31"/>
        <v>11777100</v>
      </c>
      <c r="H404" s="42">
        <f t="shared" si="31"/>
        <v>2000000</v>
      </c>
      <c r="I404" s="42">
        <f t="shared" si="31"/>
        <v>47642</v>
      </c>
      <c r="J404" s="393">
        <f t="shared" si="31"/>
        <v>34038837</v>
      </c>
      <c r="K404" s="402">
        <f>J404/J$142*100</f>
        <v>0.94762909242761695</v>
      </c>
    </row>
    <row r="405" spans="1:11" customFormat="1" ht="15.75" thickTop="1" x14ac:dyDescent="0.2">
      <c r="A405" s="52"/>
      <c r="B405" s="52"/>
      <c r="C405" s="12"/>
      <c r="D405" s="12"/>
      <c r="E405" s="250"/>
      <c r="F405" s="250"/>
      <c r="G405" s="250"/>
      <c r="H405" s="250"/>
      <c r="I405" s="250"/>
      <c r="J405" s="158"/>
      <c r="K405" s="250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M478"/>
  <sheetViews>
    <sheetView topLeftCell="A70" zoomScale="60" workbookViewId="0">
      <selection activeCell="N30" sqref="N3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11.441406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929</v>
      </c>
      <c r="B4" s="236"/>
      <c r="C4" s="236"/>
      <c r="D4" s="236"/>
      <c r="E4" s="236"/>
      <c r="F4" s="236"/>
      <c r="G4" s="236"/>
      <c r="H4" s="236"/>
      <c r="I4" s="586" t="s">
        <v>926</v>
      </c>
      <c r="J4" s="587"/>
      <c r="K4" s="588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E25+E100+E118+E129+E147+3</f>
        <v>1774325641</v>
      </c>
      <c r="F22" s="73">
        <f>F25+F100+F118+F129+F147-2</f>
        <v>370204912</v>
      </c>
      <c r="G22" s="73">
        <f>G25+G100+G118+G129+G147+1</f>
        <v>996252783</v>
      </c>
      <c r="H22" s="73">
        <f>H25+H100+H118+H129+H147+2</f>
        <v>575385296</v>
      </c>
      <c r="I22" s="73">
        <f>I25+I100+I118+I129+I147</f>
        <v>568242777</v>
      </c>
      <c r="J22" s="75">
        <f>E22+F22+G22+H22-I22</f>
        <v>3147925855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1698480904</v>
      </c>
      <c r="F25" s="32">
        <f t="shared" si="0"/>
        <v>277300405</v>
      </c>
      <c r="G25" s="32">
        <f t="shared" si="0"/>
        <v>719175525</v>
      </c>
      <c r="H25" s="32">
        <f t="shared" si="0"/>
        <v>487751542</v>
      </c>
      <c r="I25" s="32">
        <f t="shared" si="0"/>
        <v>128112710</v>
      </c>
      <c r="J25" s="32">
        <f t="shared" si="0"/>
        <v>3054595666</v>
      </c>
      <c r="K25" s="92" t="e">
        <f>J25/J$184*100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1608185472</v>
      </c>
      <c r="F28" s="32">
        <f t="shared" si="1"/>
        <v>226720851</v>
      </c>
      <c r="G28" s="32">
        <f t="shared" si="1"/>
        <v>712084348</v>
      </c>
      <c r="H28" s="32">
        <f t="shared" si="1"/>
        <v>483139134</v>
      </c>
      <c r="I28" s="32">
        <f t="shared" si="1"/>
        <v>128112710</v>
      </c>
      <c r="J28" s="32">
        <f t="shared" si="1"/>
        <v>2902017095</v>
      </c>
      <c r="K28" s="92" t="e">
        <f>J28/J$184*100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433046606</v>
      </c>
      <c r="F31" s="31">
        <f t="shared" si="2"/>
        <v>154122787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587169393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286228033</v>
      </c>
      <c r="F32" s="31">
        <v>154122787</v>
      </c>
      <c r="G32" s="31">
        <v>0</v>
      </c>
      <c r="H32" s="31">
        <v>0</v>
      </c>
      <c r="I32" s="31"/>
      <c r="J32" s="31">
        <f>E32+F32+G32+H32</f>
        <v>440350820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146818573</v>
      </c>
      <c r="F33" s="31">
        <v>0</v>
      </c>
      <c r="G33" s="31">
        <v>0</v>
      </c>
      <c r="H33" s="31">
        <v>0</v>
      </c>
      <c r="I33" s="31"/>
      <c r="J33" s="31">
        <f>E33+F33+G33+H33</f>
        <v>146818573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11716058</v>
      </c>
      <c r="F36" s="31">
        <f t="shared" si="3"/>
        <v>0</v>
      </c>
      <c r="G36" s="31">
        <f t="shared" si="3"/>
        <v>712084348</v>
      </c>
      <c r="H36" s="31">
        <f t="shared" si="3"/>
        <v>483139134</v>
      </c>
      <c r="I36" s="31">
        <f>+I38</f>
        <v>128112710</v>
      </c>
      <c r="J36" s="31">
        <f t="shared" si="3"/>
        <v>1078826830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6446913</v>
      </c>
      <c r="F37" s="31">
        <v>0</v>
      </c>
      <c r="G37" s="31">
        <v>416415354</v>
      </c>
      <c r="H37" s="31">
        <f>171612201+92470000</f>
        <v>264082201</v>
      </c>
      <c r="I37" s="31"/>
      <c r="J37" s="31">
        <f>E37+F37+G37+H37</f>
        <v>686944468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4440346</v>
      </c>
      <c r="F38" s="109">
        <v>0</v>
      </c>
      <c r="G38" s="109">
        <v>246190904</v>
      </c>
      <c r="H38" s="109">
        <v>190965446</v>
      </c>
      <c r="I38" s="427">
        <f>+I206</f>
        <v>128112710</v>
      </c>
      <c r="J38" s="109">
        <f>E38+F38+G38+H38-I38</f>
        <v>313483986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579721</v>
      </c>
      <c r="F39" s="31">
        <v>0</v>
      </c>
      <c r="G39" s="31">
        <v>34883951</v>
      </c>
      <c r="H39" s="31">
        <v>20235565</v>
      </c>
      <c r="I39" s="31"/>
      <c r="J39" s="31">
        <f>E39+F39+G39+H39</f>
        <v>55699237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249078</v>
      </c>
      <c r="F40" s="31">
        <v>0</v>
      </c>
      <c r="G40" s="31">
        <v>14594139</v>
      </c>
      <c r="H40" s="31">
        <v>7855922</v>
      </c>
      <c r="I40" s="31"/>
      <c r="J40" s="31">
        <f>E40+F40+G40+H40</f>
        <v>22699139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147007265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147007265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141261233</v>
      </c>
      <c r="F43" s="31">
        <v>0</v>
      </c>
      <c r="G43" s="31">
        <v>0</v>
      </c>
      <c r="H43" s="31">
        <v>0</v>
      </c>
      <c r="I43" s="31"/>
      <c r="J43" s="31">
        <f>E43+F43+G43+H43</f>
        <v>141261233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5746032</v>
      </c>
      <c r="F44" s="31">
        <v>0</v>
      </c>
      <c r="G44" s="31">
        <v>0</v>
      </c>
      <c r="H44" s="31">
        <v>0</v>
      </c>
      <c r="I44" s="31"/>
      <c r="J44" s="31">
        <f>E44+F44+G44+H44</f>
        <v>5746032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0</v>
      </c>
      <c r="F46" s="31">
        <f t="shared" si="5"/>
        <v>44730930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44730930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/>
      <c r="F47" s="31">
        <v>32986651</v>
      </c>
      <c r="G47" s="31">
        <v>0</v>
      </c>
      <c r="H47" s="31">
        <v>0</v>
      </c>
      <c r="I47" s="31"/>
      <c r="J47" s="31">
        <f>E47+F47+G47+H47</f>
        <v>32986651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/>
      <c r="F48" s="31">
        <v>4541</v>
      </c>
      <c r="G48" s="31">
        <v>0</v>
      </c>
      <c r="H48" s="31">
        <v>0</v>
      </c>
      <c r="I48" s="31"/>
      <c r="J48" s="31">
        <f>E48+F48+G48+H48</f>
        <v>4541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/>
      <c r="F49" s="31">
        <v>1000705</v>
      </c>
      <c r="G49" s="31">
        <v>0</v>
      </c>
      <c r="H49" s="31">
        <v>0</v>
      </c>
      <c r="I49" s="31"/>
      <c r="J49" s="31">
        <f>E49+F49+G49+H49</f>
        <v>1000705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/>
      <c r="F50" s="31">
        <v>10739033</v>
      </c>
      <c r="G50" s="31">
        <v>0</v>
      </c>
      <c r="H50" s="31">
        <v>0</v>
      </c>
      <c r="I50" s="31"/>
      <c r="J50" s="31">
        <f>E50+F50+G50+H50</f>
        <v>10739033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998153371</v>
      </c>
      <c r="F52" s="31">
        <f>SUM(F53:F61)</f>
        <v>27864246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1026017617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>
        <v>675897613</v>
      </c>
      <c r="F53" s="31"/>
      <c r="G53" s="31">
        <v>0</v>
      </c>
      <c r="H53" s="31">
        <v>0</v>
      </c>
      <c r="I53" s="31"/>
      <c r="J53" s="31">
        <f t="shared" ref="J53:J61" si="7">E53+F53+G53+H53</f>
        <v>675897613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>
        <v>16086319</v>
      </c>
      <c r="F54" s="31"/>
      <c r="G54" s="31">
        <v>0</v>
      </c>
      <c r="H54" s="31">
        <v>0</v>
      </c>
      <c r="I54" s="31"/>
      <c r="J54" s="31">
        <f t="shared" si="7"/>
        <v>16086319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>
        <v>231272816</v>
      </c>
      <c r="F55" s="31"/>
      <c r="G55" s="31">
        <v>0</v>
      </c>
      <c r="H55" s="31">
        <v>0</v>
      </c>
      <c r="I55" s="31"/>
      <c r="J55" s="31">
        <f t="shared" si="7"/>
        <v>231272816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>
        <v>0</v>
      </c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460</v>
      </c>
      <c r="E57" s="31">
        <v>27374912</v>
      </c>
      <c r="F57" s="31">
        <v>2003415</v>
      </c>
      <c r="G57" s="31">
        <v>0</v>
      </c>
      <c r="H57" s="31">
        <v>0</v>
      </c>
      <c r="I57" s="31"/>
      <c r="J57" s="31">
        <f t="shared" si="7"/>
        <v>29378327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>
        <v>28438140</v>
      </c>
      <c r="F59" s="31">
        <v>6505</v>
      </c>
      <c r="G59" s="31">
        <v>0</v>
      </c>
      <c r="H59" s="31">
        <v>0</v>
      </c>
      <c r="I59" s="31"/>
      <c r="J59" s="31">
        <f t="shared" si="7"/>
        <v>28444645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>
        <v>9488863</v>
      </c>
      <c r="F60" s="31">
        <v>25854326</v>
      </c>
      <c r="G60" s="31">
        <v>0</v>
      </c>
      <c r="H60" s="31">
        <v>0</v>
      </c>
      <c r="I60" s="31"/>
      <c r="J60" s="31">
        <f t="shared" si="7"/>
        <v>35343189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>
        <v>9594708</v>
      </c>
      <c r="F61" s="31">
        <v>0</v>
      </c>
      <c r="G61" s="31">
        <v>0</v>
      </c>
      <c r="H61" s="31">
        <v>0</v>
      </c>
      <c r="I61" s="31"/>
      <c r="J61" s="31">
        <f t="shared" si="7"/>
        <v>9594708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17852757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17852757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>
        <v>16745123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16745123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>
        <v>1107634</v>
      </c>
      <c r="F65" s="31">
        <v>0</v>
      </c>
      <c r="G65" s="31">
        <v>0</v>
      </c>
      <c r="H65" s="31">
        <v>0</v>
      </c>
      <c r="I65" s="31"/>
      <c r="J65" s="31">
        <f t="shared" si="10"/>
        <v>1107634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409415</v>
      </c>
      <c r="F72" s="31">
        <f>F73</f>
        <v>2888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412303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409415</v>
      </c>
      <c r="F73" s="31">
        <v>2888</v>
      </c>
      <c r="G73" s="31">
        <v>0</v>
      </c>
      <c r="H73" s="31">
        <v>0</v>
      </c>
      <c r="I73" s="31"/>
      <c r="J73" s="31">
        <f>E73+F73+G73+H73</f>
        <v>412303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90295432</v>
      </c>
      <c r="F75" s="32">
        <f t="shared" si="11"/>
        <v>50579554</v>
      </c>
      <c r="G75" s="32">
        <f t="shared" si="11"/>
        <v>7091177</v>
      </c>
      <c r="H75" s="32">
        <f t="shared" si="11"/>
        <v>4612408</v>
      </c>
      <c r="I75" s="32">
        <f t="shared" si="11"/>
        <v>0</v>
      </c>
      <c r="J75" s="32">
        <f t="shared" si="11"/>
        <v>152578571</v>
      </c>
      <c r="K75" s="92" t="e">
        <f>J75/J$184*100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20891314</v>
      </c>
      <c r="F78" s="31">
        <f>SUM(F79:F82)</f>
        <v>24542923</v>
      </c>
      <c r="G78" s="31">
        <f>SUM(G79:G82)</f>
        <v>251549</v>
      </c>
      <c r="H78" s="31">
        <f>SUM(H79:H82)</f>
        <v>81701</v>
      </c>
      <c r="I78" s="31">
        <f>SUM(I79:I82)</f>
        <v>0</v>
      </c>
      <c r="J78" s="31">
        <f>E78+F78+G78+H78</f>
        <v>45767487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>
        <v>7780411</v>
      </c>
      <c r="F79" s="31">
        <v>509167</v>
      </c>
      <c r="G79" s="31">
        <v>0</v>
      </c>
      <c r="H79" s="31">
        <v>0</v>
      </c>
      <c r="I79" s="31"/>
      <c r="J79" s="31">
        <f>E79+F79+G79+H79</f>
        <v>8289578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>
        <v>18878</v>
      </c>
      <c r="F80" s="31">
        <v>544051</v>
      </c>
      <c r="G80" s="31">
        <v>0</v>
      </c>
      <c r="H80" s="31">
        <v>0</v>
      </c>
      <c r="I80" s="31"/>
      <c r="J80" s="31">
        <f>E80+F80+G80+H80</f>
        <v>562929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>
        <v>6156740</v>
      </c>
      <c r="F81" s="31">
        <v>2326483</v>
      </c>
      <c r="G81" s="31">
        <v>215141</v>
      </c>
      <c r="H81" s="31">
        <v>59334</v>
      </c>
      <c r="I81" s="31"/>
      <c r="J81" s="31">
        <f>E81+F81+G81+H81</f>
        <v>8757698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>
        <v>6935285</v>
      </c>
      <c r="F82" s="31">
        <v>21163222</v>
      </c>
      <c r="G82" s="31">
        <v>36408</v>
      </c>
      <c r="H82" s="31">
        <v>22367</v>
      </c>
      <c r="I82" s="31"/>
      <c r="J82" s="31">
        <f>E82+F82+G82+H82</f>
        <v>28157282</v>
      </c>
      <c r="K82" s="103" t="e">
        <f>J82/J$184*100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28921832</v>
      </c>
      <c r="F85" s="31">
        <f>F86+F87</f>
        <v>1372623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30294455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>
        <v>9637877</v>
      </c>
      <c r="F86" s="31">
        <v>0</v>
      </c>
      <c r="G86" s="31">
        <v>0</v>
      </c>
      <c r="H86" s="31">
        <v>0</v>
      </c>
      <c r="I86" s="31"/>
      <c r="J86" s="31">
        <f>E86+F86+G86+H86</f>
        <v>9637877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>
        <v>19283955</v>
      </c>
      <c r="F87" s="31">
        <v>1372623</v>
      </c>
      <c r="G87" s="31">
        <v>0</v>
      </c>
      <c r="H87" s="31">
        <v>0</v>
      </c>
      <c r="I87" s="31"/>
      <c r="J87" s="31">
        <f>E87+F87+G87+H87</f>
        <v>20656578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9602287</v>
      </c>
      <c r="F89" s="31">
        <f>F90</f>
        <v>601820</v>
      </c>
      <c r="G89" s="31">
        <f>G90</f>
        <v>0</v>
      </c>
      <c r="H89" s="31">
        <f>H90</f>
        <v>127424</v>
      </c>
      <c r="I89" s="31">
        <f>I90</f>
        <v>0</v>
      </c>
      <c r="J89" s="31">
        <f>E89+F89+G89+H89</f>
        <v>10331531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>
        <v>9602287</v>
      </c>
      <c r="F90" s="31">
        <v>601820</v>
      </c>
      <c r="G90" s="31">
        <v>0</v>
      </c>
      <c r="H90" s="31">
        <v>127424</v>
      </c>
      <c r="I90" s="31"/>
      <c r="J90" s="31">
        <f>E90+F90+G90+H90</f>
        <v>10331531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3819609</v>
      </c>
      <c r="F92" s="31">
        <f t="shared" si="12"/>
        <v>2234586</v>
      </c>
      <c r="G92" s="31">
        <f t="shared" si="12"/>
        <v>37452</v>
      </c>
      <c r="H92" s="31">
        <f t="shared" si="12"/>
        <v>894699</v>
      </c>
      <c r="I92" s="31">
        <f t="shared" si="12"/>
        <v>0</v>
      </c>
      <c r="J92" s="31">
        <f t="shared" si="12"/>
        <v>6986346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>
        <v>3819609</v>
      </c>
      <c r="F93" s="31">
        <v>2234586</v>
      </c>
      <c r="G93" s="31">
        <v>37452</v>
      </c>
      <c r="H93" s="31">
        <v>894699</v>
      </c>
      <c r="I93" s="31"/>
      <c r="J93" s="31">
        <f>E93+F93+G93+H93-I93</f>
        <v>6986346</v>
      </c>
      <c r="K93" s="103" t="e">
        <f>J93/J$184*100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27060390</v>
      </c>
      <c r="F96" s="31">
        <f t="shared" si="13"/>
        <v>21827602</v>
      </c>
      <c r="G96" s="31">
        <f t="shared" si="13"/>
        <v>6802176</v>
      </c>
      <c r="H96" s="31">
        <f t="shared" si="13"/>
        <v>3508584</v>
      </c>
      <c r="I96" s="31">
        <f t="shared" si="13"/>
        <v>0</v>
      </c>
      <c r="J96" s="31">
        <f t="shared" si="13"/>
        <v>59198752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>
        <v>0</v>
      </c>
      <c r="F97" s="31">
        <v>0</v>
      </c>
      <c r="G97" s="31">
        <v>5393366</v>
      </c>
      <c r="H97" s="31">
        <v>0</v>
      </c>
      <c r="I97" s="31"/>
      <c r="J97" s="31">
        <f>E97+F97+G97+H97</f>
        <v>5393366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>
        <v>27060390</v>
      </c>
      <c r="F98" s="31">
        <v>21827602</v>
      </c>
      <c r="G98" s="31">
        <v>1408810</v>
      </c>
      <c r="H98" s="31">
        <v>3508584</v>
      </c>
      <c r="I98" s="31"/>
      <c r="J98" s="31">
        <f>E98+F98+G98+H98-I98</f>
        <v>53805386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2360272</v>
      </c>
      <c r="F100" s="32">
        <f>F103+F109+F113</f>
        <v>15224749</v>
      </c>
      <c r="G100" s="32">
        <f>G103+G109+G113</f>
        <v>600</v>
      </c>
      <c r="H100" s="32">
        <f>H103+H109+H113</f>
        <v>28817</v>
      </c>
      <c r="I100" s="32">
        <f>I103+I109+I113</f>
        <v>0</v>
      </c>
      <c r="J100" s="32">
        <f>E100+F100+G100+H100</f>
        <v>17614438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919488</v>
      </c>
      <c r="F103" s="31">
        <f>SUM(F104:F107)</f>
        <v>5268547</v>
      </c>
      <c r="G103" s="31">
        <v>600</v>
      </c>
      <c r="H103" s="31">
        <v>28817</v>
      </c>
      <c r="I103" s="31">
        <f>SUM(I104:I107)</f>
        <v>0</v>
      </c>
      <c r="J103" s="31">
        <f>E103+F103+G103+H103-I103</f>
        <v>6217452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>
        <v>824465</v>
      </c>
      <c r="F104" s="31">
        <v>4746773</v>
      </c>
      <c r="G104" s="31"/>
      <c r="H104" s="31"/>
      <c r="I104" s="31"/>
      <c r="J104" s="31">
        <f>E104+F104+G104+H104</f>
        <v>5571238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>
        <v>85639</v>
      </c>
      <c r="F105" s="31">
        <v>12837</v>
      </c>
      <c r="G105" s="31"/>
      <c r="H105" s="31"/>
      <c r="I105" s="31"/>
      <c r="J105" s="31">
        <f>E105+F105+G105+H105</f>
        <v>98476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>
        <v>7456</v>
      </c>
      <c r="F106" s="31">
        <v>36991</v>
      </c>
      <c r="G106" s="31"/>
      <c r="H106" s="31"/>
      <c r="I106" s="31"/>
      <c r="J106" s="31">
        <f>E106+F106+G106+H106</f>
        <v>44447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1">
        <v>1928</v>
      </c>
      <c r="F107" s="31">
        <v>471946</v>
      </c>
      <c r="G107" s="31"/>
      <c r="H107" s="31"/>
      <c r="I107" s="31"/>
      <c r="J107" s="31">
        <f>E107+F107+G107+H107</f>
        <v>473874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1440784</v>
      </c>
      <c r="F113" s="31">
        <v>9956202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11396986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>
        <v>1440784</v>
      </c>
      <c r="F115" s="31"/>
      <c r="G115" s="31">
        <v>0</v>
      </c>
      <c r="H115" s="31">
        <v>0</v>
      </c>
      <c r="I115" s="31"/>
      <c r="J115" s="31">
        <f>E115+F115+G115+H115</f>
        <v>1440784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10000</v>
      </c>
      <c r="F118" s="32">
        <f>F121+F125</f>
        <v>1085183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1095183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v>10000</v>
      </c>
      <c r="F121" s="31">
        <v>654911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664911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0</v>
      </c>
      <c r="F125" s="31">
        <v>430272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430272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123062</v>
      </c>
      <c r="F129" s="73">
        <f>F131</f>
        <v>76594577</v>
      </c>
      <c r="G129" s="73">
        <f>G131</f>
        <v>277076657</v>
      </c>
      <c r="H129" s="73">
        <f>H131</f>
        <v>87604935</v>
      </c>
      <c r="I129" s="73">
        <f>I131</f>
        <v>440130067</v>
      </c>
      <c r="J129" s="73">
        <f>+J131</f>
        <v>1269164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E133+E143+E144+E145</f>
        <v>123062</v>
      </c>
      <c r="F131" s="109">
        <f>F133+F143+F144+F145</f>
        <v>76594577</v>
      </c>
      <c r="G131" s="109">
        <f>G133+G143+G144+G145</f>
        <v>277076657</v>
      </c>
      <c r="H131" s="109">
        <f>H133+H143+H144+H145</f>
        <v>87604935</v>
      </c>
      <c r="I131" s="109">
        <f>I133+I143+I144+I145</f>
        <v>440130067</v>
      </c>
      <c r="J131" s="109">
        <f>SUM(J133:J145)</f>
        <v>1269164</v>
      </c>
      <c r="K131" s="103" t="e">
        <f>J131/J$184*100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>
        <v>115870</v>
      </c>
      <c r="F133" s="117">
        <f>+F134+F135+F136</f>
        <v>72661878</v>
      </c>
      <c r="G133" s="117">
        <f>+G134+G136+G137+G138+G140</f>
        <v>276597486</v>
      </c>
      <c r="H133" s="117">
        <f>+H137+H139+H141</f>
        <v>4701276</v>
      </c>
      <c r="I133" s="428">
        <f>E133+F133+G133+H133</f>
        <v>354076510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193</v>
      </c>
      <c r="D134" s="102"/>
      <c r="E134" s="117"/>
      <c r="F134" s="117">
        <v>50699109</v>
      </c>
      <c r="G134" s="117">
        <v>100120465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931</v>
      </c>
      <c r="D135" s="102"/>
      <c r="E135" s="117"/>
      <c r="F135" s="117">
        <v>3030898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932</v>
      </c>
      <c r="D136" s="102"/>
      <c r="E136" s="117"/>
      <c r="F136" s="117">
        <v>18931871</v>
      </c>
      <c r="G136" s="117">
        <v>170243323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933</v>
      </c>
      <c r="D137" s="102"/>
      <c r="E137" s="117"/>
      <c r="F137" s="117"/>
      <c r="G137" s="117">
        <v>466961</v>
      </c>
      <c r="H137" s="117">
        <v>203024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934</v>
      </c>
      <c r="D138" s="102"/>
      <c r="E138" s="117"/>
      <c r="F138" s="117"/>
      <c r="G138" s="117">
        <v>4022946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935</v>
      </c>
      <c r="D139" s="102"/>
      <c r="E139" s="117"/>
      <c r="F139" s="117"/>
      <c r="G139" s="117"/>
      <c r="H139" s="117">
        <v>2976029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936</v>
      </c>
      <c r="D140" s="102"/>
      <c r="E140" s="117"/>
      <c r="F140" s="117"/>
      <c r="G140" s="117">
        <v>1743791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192</v>
      </c>
      <c r="D141" s="102"/>
      <c r="E141" s="117"/>
      <c r="F141" s="117"/>
      <c r="G141" s="117"/>
      <c r="H141" s="117">
        <v>1522223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577</v>
      </c>
      <c r="D143" s="102" t="s">
        <v>578</v>
      </c>
      <c r="E143" s="109">
        <v>0</v>
      </c>
      <c r="F143" s="117">
        <v>2481496</v>
      </c>
      <c r="G143" s="109">
        <v>0</v>
      </c>
      <c r="H143" s="117">
        <v>4074895</v>
      </c>
      <c r="I143" s="428">
        <f>E143+F143+G143+H143</f>
        <v>6556391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579</v>
      </c>
      <c r="D144" s="102" t="s">
        <v>580</v>
      </c>
      <c r="E144" s="117">
        <v>7192</v>
      </c>
      <c r="F144" s="117">
        <v>182039</v>
      </c>
      <c r="G144" s="117">
        <v>479171</v>
      </c>
      <c r="H144" s="117">
        <v>78828764</v>
      </c>
      <c r="I144" s="428">
        <f>E144+F144+G144+H144</f>
        <v>79497166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581</v>
      </c>
      <c r="D145" s="102" t="s">
        <v>582</v>
      </c>
      <c r="E145" s="109">
        <v>0</v>
      </c>
      <c r="F145" s="109">
        <v>1269164</v>
      </c>
      <c r="G145" s="109">
        <v>0</v>
      </c>
      <c r="H145" s="109">
        <v>0</v>
      </c>
      <c r="I145" s="109">
        <v>0</v>
      </c>
      <c r="J145" s="109">
        <f>E145+F145+G145+H145-I145</f>
        <v>1269164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884</v>
      </c>
      <c r="D147" s="91"/>
      <c r="E147" s="32">
        <f>+E149+E154+E159+E165+E168+E172+E176+E179</f>
        <v>73351400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73351400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885</v>
      </c>
      <c r="D149" s="432"/>
      <c r="E149" s="383">
        <v>0</v>
      </c>
      <c r="F149" s="383"/>
      <c r="G149" s="383"/>
      <c r="H149" s="383"/>
      <c r="I149" s="383"/>
      <c r="J149" s="383">
        <f>+E149+F149+G149+H149-I149</f>
        <v>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886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433"/>
    </row>
    <row r="151" spans="1:11" s="423" customFormat="1" x14ac:dyDescent="0.2">
      <c r="A151" s="204">
        <v>7801</v>
      </c>
      <c r="B151" s="205"/>
      <c r="C151" s="206" t="s">
        <v>887</v>
      </c>
      <c r="D151" s="432"/>
      <c r="E151" s="383"/>
      <c r="F151" s="383"/>
      <c r="G151" s="383"/>
      <c r="H151" s="383"/>
      <c r="I151" s="383"/>
      <c r="J151" s="383">
        <f>+E151+F151+G151+H151-I151</f>
        <v>0</v>
      </c>
      <c r="K151" s="433"/>
    </row>
    <row r="152" spans="1:11" s="423" customFormat="1" x14ac:dyDescent="0.2">
      <c r="A152" s="204">
        <v>7802</v>
      </c>
      <c r="B152" s="205"/>
      <c r="C152" s="206" t="s">
        <v>888</v>
      </c>
      <c r="D152" s="432"/>
      <c r="E152" s="383"/>
      <c r="F152" s="383"/>
      <c r="G152" s="383"/>
      <c r="H152" s="383"/>
      <c r="I152" s="383"/>
      <c r="J152" s="383">
        <f>+E152+F152+G152+H152-I152</f>
        <v>0</v>
      </c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894</v>
      </c>
      <c r="D154" s="432"/>
      <c r="E154" s="383">
        <f>+E155+E156+E157</f>
        <v>39742400</v>
      </c>
      <c r="F154" s="383"/>
      <c r="G154" s="383"/>
      <c r="H154" s="383"/>
      <c r="I154" s="383"/>
      <c r="J154" s="383">
        <f>+E154+F154+G154+H154-I154</f>
        <v>39742400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889</v>
      </c>
      <c r="D155" s="432"/>
      <c r="E155" s="383">
        <v>10808000</v>
      </c>
      <c r="F155" s="383"/>
      <c r="G155" s="383"/>
      <c r="H155" s="383"/>
      <c r="I155" s="383"/>
      <c r="J155" s="383">
        <f>+E155+F155+G155+H155-I155</f>
        <v>10808000</v>
      </c>
      <c r="K155" s="433"/>
    </row>
    <row r="156" spans="1:11" s="423" customFormat="1" x14ac:dyDescent="0.2">
      <c r="A156" s="204">
        <v>7811</v>
      </c>
      <c r="B156" s="205"/>
      <c r="C156" s="206" t="s">
        <v>890</v>
      </c>
      <c r="D156" s="432"/>
      <c r="E156" s="383">
        <v>10514100</v>
      </c>
      <c r="F156" s="383"/>
      <c r="G156" s="383"/>
      <c r="H156" s="383"/>
      <c r="I156" s="383"/>
      <c r="J156" s="383">
        <f>+E156+F156+G156+H156-I156</f>
        <v>10514100</v>
      </c>
      <c r="K156" s="433"/>
    </row>
    <row r="157" spans="1:11" s="423" customFormat="1" x14ac:dyDescent="0.2">
      <c r="A157" s="204">
        <v>7812</v>
      </c>
      <c r="B157" s="205"/>
      <c r="C157" s="206" t="s">
        <v>893</v>
      </c>
      <c r="D157" s="432"/>
      <c r="E157" s="383">
        <v>18420300</v>
      </c>
      <c r="F157" s="383"/>
      <c r="G157" s="383"/>
      <c r="H157" s="383"/>
      <c r="I157" s="383"/>
      <c r="J157" s="383">
        <f>+E157+F157+G157+H157-I157</f>
        <v>18420300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900</v>
      </c>
      <c r="D159" s="432"/>
      <c r="E159" s="383">
        <v>13643600</v>
      </c>
      <c r="F159" s="383"/>
      <c r="G159" s="383"/>
      <c r="H159" s="383"/>
      <c r="I159" s="383"/>
      <c r="J159" s="383">
        <f>+E159+F159+G159+H159-I159</f>
        <v>13643600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896</v>
      </c>
      <c r="D160" s="432"/>
      <c r="E160" s="383">
        <v>0</v>
      </c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897</v>
      </c>
      <c r="D161" s="432"/>
      <c r="E161" s="383">
        <v>0</v>
      </c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898</v>
      </c>
      <c r="D162" s="432"/>
      <c r="E162" s="383">
        <v>0</v>
      </c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899</v>
      </c>
      <c r="D163" s="432"/>
      <c r="E163" s="383">
        <v>0</v>
      </c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902</v>
      </c>
      <c r="D165" s="432"/>
      <c r="E165" s="383">
        <f>+E166</f>
        <v>10048800</v>
      </c>
      <c r="F165" s="383"/>
      <c r="G165" s="383"/>
      <c r="H165" s="383"/>
      <c r="I165" s="383"/>
      <c r="J165" s="383">
        <f>+E165+F165+G165+H165-I165</f>
        <v>10048800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901</v>
      </c>
      <c r="D166" s="432"/>
      <c r="E166" s="383">
        <v>10048800</v>
      </c>
      <c r="F166" s="383"/>
      <c r="G166" s="383"/>
      <c r="H166" s="383"/>
      <c r="I166" s="383"/>
      <c r="J166" s="383">
        <f>+E166+F166+G166+H166-I166</f>
        <v>10048800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905</v>
      </c>
      <c r="D168" s="432"/>
      <c r="E168" s="383">
        <f>+E169+E170</f>
        <v>9916600</v>
      </c>
      <c r="F168" s="383"/>
      <c r="G168" s="383"/>
      <c r="H168" s="383"/>
      <c r="I168" s="383"/>
      <c r="J168" s="383">
        <f>+E168+F168+G168+H168-I168</f>
        <v>9916600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903</v>
      </c>
      <c r="D169" s="432"/>
      <c r="E169" s="383">
        <v>9916600</v>
      </c>
      <c r="F169" s="383"/>
      <c r="G169" s="383"/>
      <c r="H169" s="383"/>
      <c r="I169" s="383"/>
      <c r="J169" s="383">
        <f>+E169+F169+G169+H169-I169</f>
        <v>9916600</v>
      </c>
      <c r="K169" s="433"/>
    </row>
    <row r="170" spans="1:11" s="423" customFormat="1" x14ac:dyDescent="0.2">
      <c r="A170" s="204">
        <v>7841</v>
      </c>
      <c r="B170" s="205"/>
      <c r="C170" s="206" t="s">
        <v>904</v>
      </c>
      <c r="D170" s="432"/>
      <c r="E170" s="383">
        <v>0</v>
      </c>
      <c r="F170" s="383"/>
      <c r="G170" s="383"/>
      <c r="H170" s="383"/>
      <c r="I170" s="383"/>
      <c r="J170" s="383"/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908</v>
      </c>
      <c r="D172" s="432"/>
      <c r="E172" s="383">
        <v>0</v>
      </c>
      <c r="F172" s="383"/>
      <c r="G172" s="383"/>
      <c r="H172" s="383"/>
      <c r="I172" s="383"/>
      <c r="J172" s="383">
        <f>+E172+F172+G172+H172-I172</f>
        <v>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906</v>
      </c>
      <c r="D173" s="432"/>
      <c r="E173" s="383">
        <v>0</v>
      </c>
      <c r="F173" s="383"/>
      <c r="G173" s="383"/>
      <c r="H173" s="383"/>
      <c r="I173" s="383"/>
      <c r="J173" s="383"/>
      <c r="K173" s="433"/>
    </row>
    <row r="174" spans="1:11" s="423" customFormat="1" x14ac:dyDescent="0.2">
      <c r="A174" s="204">
        <v>7851</v>
      </c>
      <c r="B174" s="205"/>
      <c r="C174" s="206" t="s">
        <v>907</v>
      </c>
      <c r="D174" s="432"/>
      <c r="E174" s="383">
        <v>0</v>
      </c>
      <c r="F174" s="383"/>
      <c r="G174" s="383"/>
      <c r="H174" s="383"/>
      <c r="I174" s="383"/>
      <c r="J174" s="383"/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910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909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912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911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435"/>
      <c r="J183" s="130"/>
      <c r="K183" s="130"/>
    </row>
    <row r="184" spans="1:11" ht="19.5" thickTop="1" thickBot="1" x14ac:dyDescent="0.3">
      <c r="A184" s="53" t="s">
        <v>866</v>
      </c>
      <c r="B184" s="53"/>
      <c r="C184" s="131" t="s">
        <v>583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83</v>
      </c>
      <c r="C187" s="77" t="s">
        <v>585</v>
      </c>
      <c r="D187" s="142"/>
      <c r="E187" s="73">
        <f>E190+E252+E291+E305+E319-1</f>
        <v>1983994285</v>
      </c>
      <c r="F187" s="73">
        <f>F190+F252+F291+F305+F319+1</f>
        <v>373551263</v>
      </c>
      <c r="G187" s="73">
        <f>G190+G252+G291+G305+G319</f>
        <v>989877783</v>
      </c>
      <c r="H187" s="73">
        <f>H190+H252+H291+H305+H319+1</f>
        <v>552799764</v>
      </c>
      <c r="I187" s="73">
        <f>I190+I252+I291+I305+I319</f>
        <v>568242777</v>
      </c>
      <c r="J187" s="75">
        <f>E187+F187+G187+H187-I187</f>
        <v>3331980318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587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588</v>
      </c>
      <c r="D190" s="146"/>
      <c r="E190" s="32">
        <f>E193+E206+E216+E232+E239+E246</f>
        <v>992161240</v>
      </c>
      <c r="F190" s="32">
        <f>F193+F206+F216+F232+F239+F246</f>
        <v>151011352</v>
      </c>
      <c r="G190" s="32">
        <f>G193+G206+G216+G232+G239+G246</f>
        <v>11753111</v>
      </c>
      <c r="H190" s="32">
        <f>H193+H206+H216+H232+H239+H246</f>
        <v>490939559</v>
      </c>
      <c r="I190" s="32">
        <f>+I206+I216</f>
        <v>128112710</v>
      </c>
      <c r="J190" s="32">
        <f>E190+F190+G190+H190-I190</f>
        <v>1517752552</v>
      </c>
      <c r="K190" s="92" t="e">
        <f>J190/J$184*100</f>
        <v>#REF!</v>
      </c>
    </row>
    <row r="191" spans="1:11" x14ac:dyDescent="0.2">
      <c r="A191" s="147"/>
      <c r="B191" s="148"/>
      <c r="C191" s="96" t="s">
        <v>816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3" x14ac:dyDescent="0.2">
      <c r="A193" s="99"/>
      <c r="B193" s="100"/>
      <c r="C193" s="101" t="s">
        <v>817</v>
      </c>
      <c r="D193" s="149"/>
      <c r="E193" s="31">
        <f>+E195+E204</f>
        <v>501828307</v>
      </c>
      <c r="F193" s="31">
        <f>+F195+F204</f>
        <v>42957795</v>
      </c>
      <c r="G193" s="31">
        <f>+G195+G204</f>
        <v>4116024</v>
      </c>
      <c r="H193" s="31">
        <f>+H195+H204</f>
        <v>172748980</v>
      </c>
      <c r="I193" s="31">
        <f>+I195+I204</f>
        <v>0</v>
      </c>
      <c r="J193" s="31">
        <f>E193+F193+G193+H193-I193</f>
        <v>721651106</v>
      </c>
      <c r="K193" s="103" t="e">
        <f>J193/J$184*100</f>
        <v>#REF!</v>
      </c>
    </row>
    <row r="194" spans="1:13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3" x14ac:dyDescent="0.2">
      <c r="A195" s="99">
        <v>400</v>
      </c>
      <c r="B195" s="100"/>
      <c r="C195" s="101" t="s">
        <v>818</v>
      </c>
      <c r="D195" s="149"/>
      <c r="E195" s="31">
        <f>SUM(E196:E202)</f>
        <v>219297973</v>
      </c>
      <c r="F195" s="31">
        <v>20220781</v>
      </c>
      <c r="G195" s="31">
        <v>4116024</v>
      </c>
      <c r="H195" s="31">
        <v>4944695</v>
      </c>
      <c r="I195" s="31">
        <v>0</v>
      </c>
      <c r="J195" s="31">
        <f>E195+F195+G195+H195-I195</f>
        <v>248579473</v>
      </c>
      <c r="K195" s="103" t="e">
        <f>J195/J$184*100</f>
        <v>#REF!</v>
      </c>
    </row>
    <row r="196" spans="1:13" x14ac:dyDescent="0.2">
      <c r="A196" s="99">
        <v>4000</v>
      </c>
      <c r="B196" s="100"/>
      <c r="C196" s="101" t="s">
        <v>593</v>
      </c>
      <c r="D196" s="149"/>
      <c r="E196" s="31">
        <v>186687797</v>
      </c>
      <c r="F196" s="202" t="s">
        <v>845</v>
      </c>
      <c r="G196" s="202" t="s">
        <v>845</v>
      </c>
      <c r="H196" s="202" t="s">
        <v>845</v>
      </c>
      <c r="I196" s="202" t="s">
        <v>845</v>
      </c>
      <c r="J196" s="202" t="s">
        <v>845</v>
      </c>
      <c r="K196" s="103"/>
    </row>
    <row r="197" spans="1:13" x14ac:dyDescent="0.2">
      <c r="A197" s="99">
        <v>4001</v>
      </c>
      <c r="B197" s="100"/>
      <c r="C197" s="101" t="s">
        <v>595</v>
      </c>
      <c r="D197" s="149"/>
      <c r="E197" s="31">
        <v>6509103</v>
      </c>
      <c r="F197" s="202" t="s">
        <v>845</v>
      </c>
      <c r="G197" s="202" t="s">
        <v>845</v>
      </c>
      <c r="H197" s="202" t="s">
        <v>845</v>
      </c>
      <c r="I197" s="202" t="s">
        <v>845</v>
      </c>
      <c r="J197" s="202" t="s">
        <v>845</v>
      </c>
      <c r="K197" s="103"/>
    </row>
    <row r="198" spans="1:13" x14ac:dyDescent="0.2">
      <c r="A198" s="99">
        <v>4002</v>
      </c>
      <c r="B198" s="100"/>
      <c r="C198" s="101" t="s">
        <v>597</v>
      </c>
      <c r="D198" s="149"/>
      <c r="E198" s="31">
        <v>17698975</v>
      </c>
      <c r="F198" s="202" t="s">
        <v>845</v>
      </c>
      <c r="G198" s="202" t="s">
        <v>845</v>
      </c>
      <c r="H198" s="202" t="s">
        <v>845</v>
      </c>
      <c r="I198" s="202" t="s">
        <v>845</v>
      </c>
      <c r="J198" s="202" t="s">
        <v>845</v>
      </c>
      <c r="K198" s="103"/>
    </row>
    <row r="199" spans="1:13" x14ac:dyDescent="0.2">
      <c r="A199" s="99">
        <v>4003</v>
      </c>
      <c r="B199" s="100"/>
      <c r="C199" s="101" t="s">
        <v>599</v>
      </c>
      <c r="D199" s="149"/>
      <c r="E199" s="31">
        <v>4489402</v>
      </c>
      <c r="F199" s="202" t="s">
        <v>845</v>
      </c>
      <c r="G199" s="202" t="s">
        <v>845</v>
      </c>
      <c r="H199" s="202" t="s">
        <v>845</v>
      </c>
      <c r="I199" s="202" t="s">
        <v>845</v>
      </c>
      <c r="J199" s="202" t="s">
        <v>845</v>
      </c>
      <c r="K199" s="103"/>
    </row>
    <row r="200" spans="1:13" x14ac:dyDescent="0.2">
      <c r="A200" s="99">
        <v>4004</v>
      </c>
      <c r="B200" s="100"/>
      <c r="C200" s="101" t="s">
        <v>601</v>
      </c>
      <c r="D200" s="149"/>
      <c r="E200" s="31">
        <v>2337180</v>
      </c>
      <c r="F200" s="202" t="s">
        <v>845</v>
      </c>
      <c r="G200" s="202" t="s">
        <v>845</v>
      </c>
      <c r="H200" s="202" t="s">
        <v>845</v>
      </c>
      <c r="I200" s="202" t="s">
        <v>845</v>
      </c>
      <c r="J200" s="202" t="s">
        <v>845</v>
      </c>
      <c r="K200" s="103"/>
    </row>
    <row r="201" spans="1:13" x14ac:dyDescent="0.2">
      <c r="A201" s="99">
        <v>4005</v>
      </c>
      <c r="B201" s="100"/>
      <c r="C201" s="101" t="s">
        <v>603</v>
      </c>
      <c r="D201" s="149"/>
      <c r="E201" s="31">
        <v>27188</v>
      </c>
      <c r="F201" s="202" t="s">
        <v>845</v>
      </c>
      <c r="G201" s="202" t="s">
        <v>845</v>
      </c>
      <c r="H201" s="202" t="s">
        <v>845</v>
      </c>
      <c r="I201" s="202" t="s">
        <v>845</v>
      </c>
      <c r="J201" s="202" t="s">
        <v>845</v>
      </c>
      <c r="K201" s="103"/>
    </row>
    <row r="202" spans="1:13" x14ac:dyDescent="0.2">
      <c r="A202" s="99">
        <v>4009</v>
      </c>
      <c r="B202" s="100"/>
      <c r="C202" s="101" t="s">
        <v>605</v>
      </c>
      <c r="D202" s="149"/>
      <c r="E202" s="31">
        <v>1548328</v>
      </c>
      <c r="F202" s="202" t="s">
        <v>845</v>
      </c>
      <c r="G202" s="202" t="s">
        <v>845</v>
      </c>
      <c r="H202" s="202" t="s">
        <v>845</v>
      </c>
      <c r="I202" s="202" t="s">
        <v>845</v>
      </c>
      <c r="J202" s="202" t="s">
        <v>845</v>
      </c>
      <c r="K202" s="103"/>
    </row>
    <row r="203" spans="1:13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3" x14ac:dyDescent="0.2">
      <c r="A204" s="99">
        <v>413300</v>
      </c>
      <c r="B204" s="100"/>
      <c r="C204" s="101" t="s">
        <v>819</v>
      </c>
      <c r="D204" s="149"/>
      <c r="E204" s="31">
        <v>282530334</v>
      </c>
      <c r="F204" s="31">
        <v>22737014</v>
      </c>
      <c r="G204" s="31">
        <v>0</v>
      </c>
      <c r="H204" s="31">
        <f>157636540+10167745</f>
        <v>167804285</v>
      </c>
      <c r="I204" s="31">
        <v>0</v>
      </c>
      <c r="J204" s="31">
        <f>E204+F204+G204+H204-I204</f>
        <v>473071633</v>
      </c>
      <c r="K204" s="103" t="e">
        <f>J204/J$184*100</f>
        <v>#REF!</v>
      </c>
    </row>
    <row r="205" spans="1:13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3" x14ac:dyDescent="0.2">
      <c r="A206" s="151"/>
      <c r="B206" s="115"/>
      <c r="C206" s="112" t="s">
        <v>820</v>
      </c>
      <c r="D206" s="152"/>
      <c r="E206" s="113">
        <f>+E208+E214</f>
        <v>86404380</v>
      </c>
      <c r="F206" s="113">
        <f>+F208+F214</f>
        <v>6339522</v>
      </c>
      <c r="G206" s="113">
        <f>+G208+G214</f>
        <v>564286</v>
      </c>
      <c r="H206" s="113">
        <f>+H208+H214</f>
        <v>34804522</v>
      </c>
      <c r="I206" s="426">
        <f>+I208+I214</f>
        <v>128112710</v>
      </c>
      <c r="J206" s="113">
        <f>E206+F206+G206+H206-I206</f>
        <v>0</v>
      </c>
      <c r="K206" s="110"/>
    </row>
    <row r="207" spans="1:13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3" x14ac:dyDescent="0.2">
      <c r="A208" s="106">
        <v>401</v>
      </c>
      <c r="B208" s="107"/>
      <c r="C208" s="108" t="s">
        <v>832</v>
      </c>
      <c r="D208" s="153"/>
      <c r="E208" s="109">
        <f>SUM(E209:E212)</f>
        <v>35121752</v>
      </c>
      <c r="F208" s="109">
        <f>SUM(F209:F212)</f>
        <v>2916191</v>
      </c>
      <c r="G208" s="109">
        <f>SUM(G209:G212)</f>
        <v>564286</v>
      </c>
      <c r="H208" s="109">
        <f>SUM(H209:H212)</f>
        <v>703742</v>
      </c>
      <c r="I208" s="109">
        <f>SUM(I209:I212)</f>
        <v>39305971</v>
      </c>
      <c r="J208" s="109">
        <f>E208+F208+G208+H208-I208</f>
        <v>0</v>
      </c>
      <c r="K208" s="103"/>
      <c r="M208" s="431"/>
    </row>
    <row r="209" spans="1:11" x14ac:dyDescent="0.2">
      <c r="A209" s="106">
        <v>4010</v>
      </c>
      <c r="B209" s="107"/>
      <c r="C209" s="108" t="s">
        <v>608</v>
      </c>
      <c r="D209" s="153"/>
      <c r="E209" s="109">
        <v>21692831</v>
      </c>
      <c r="F209" s="109">
        <v>1837195</v>
      </c>
      <c r="G209" s="109">
        <v>310149</v>
      </c>
      <c r="H209" s="109">
        <v>391705</v>
      </c>
      <c r="I209" s="109">
        <f>E209+F209+G209+H209</f>
        <v>24231880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613</v>
      </c>
      <c r="D210" s="153"/>
      <c r="E210" s="109">
        <v>13123398</v>
      </c>
      <c r="F210" s="109">
        <v>1043995</v>
      </c>
      <c r="G210" s="109">
        <v>248522</v>
      </c>
      <c r="H210" s="109">
        <v>304955</v>
      </c>
      <c r="I210" s="109">
        <f>E210+F210+G210+H210</f>
        <v>14720870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615</v>
      </c>
      <c r="D211" s="153"/>
      <c r="E211" s="109">
        <v>114348</v>
      </c>
      <c r="F211" s="109">
        <v>16045</v>
      </c>
      <c r="G211" s="109">
        <v>2117</v>
      </c>
      <c r="H211" s="109">
        <v>2656</v>
      </c>
      <c r="I211" s="109">
        <f>E211+F211+G211+H211</f>
        <v>135166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617</v>
      </c>
      <c r="D212" s="153"/>
      <c r="E212" s="109">
        <v>191175</v>
      </c>
      <c r="F212" s="109">
        <v>18956</v>
      </c>
      <c r="G212" s="109">
        <v>3498</v>
      </c>
      <c r="H212" s="109">
        <v>4426</v>
      </c>
      <c r="I212" s="109">
        <f>E212+F212+G212+H212</f>
        <v>218055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821</v>
      </c>
      <c r="D214" s="153"/>
      <c r="E214" s="109">
        <v>51282628</v>
      </c>
      <c r="F214" s="109">
        <v>3423331</v>
      </c>
      <c r="G214" s="109">
        <v>0</v>
      </c>
      <c r="H214" s="109">
        <v>34100780</v>
      </c>
      <c r="I214" s="109">
        <f>E214+F214+G214+H214</f>
        <v>88806739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822</v>
      </c>
      <c r="D216" s="149"/>
      <c r="E216" s="31">
        <f t="shared" ref="E216:J216" si="14">+E218+E230</f>
        <v>261455727</v>
      </c>
      <c r="F216" s="31">
        <f t="shared" si="14"/>
        <v>98444110</v>
      </c>
      <c r="G216" s="31">
        <f t="shared" si="14"/>
        <v>6722801</v>
      </c>
      <c r="H216" s="31">
        <f t="shared" si="14"/>
        <v>283033057</v>
      </c>
      <c r="I216" s="31">
        <f t="shared" si="14"/>
        <v>0</v>
      </c>
      <c r="J216" s="31">
        <f t="shared" si="14"/>
        <v>649655695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833</v>
      </c>
      <c r="D218" s="149"/>
      <c r="E218" s="31">
        <f>SUM(E219:E228)</f>
        <v>204126224</v>
      </c>
      <c r="F218" s="31">
        <f>SUM(F219:F228)</f>
        <v>61659692</v>
      </c>
      <c r="G218" s="31">
        <v>6722801</v>
      </c>
      <c r="H218" s="31">
        <v>5191870</v>
      </c>
      <c r="I218" s="31">
        <f>SUM(I219:I228)</f>
        <v>0</v>
      </c>
      <c r="J218" s="31">
        <f>E218+F218+G218+H218-I218</f>
        <v>277700587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937</v>
      </c>
      <c r="D219" s="149"/>
      <c r="E219" s="31">
        <v>25825107</v>
      </c>
      <c r="F219" s="31">
        <v>8729988</v>
      </c>
      <c r="G219" s="202" t="s">
        <v>845</v>
      </c>
      <c r="H219" s="202" t="s">
        <v>845</v>
      </c>
      <c r="I219" s="202" t="s">
        <v>845</v>
      </c>
      <c r="J219" s="202" t="s">
        <v>845</v>
      </c>
      <c r="K219" s="155"/>
    </row>
    <row r="220" spans="1:11" x14ac:dyDescent="0.2">
      <c r="A220" s="99">
        <v>4021</v>
      </c>
      <c r="B220" s="100"/>
      <c r="C220" s="101" t="s">
        <v>939</v>
      </c>
      <c r="D220" s="149"/>
      <c r="E220" s="31">
        <v>51218486</v>
      </c>
      <c r="F220" s="31">
        <v>2072524</v>
      </c>
      <c r="G220" s="202" t="s">
        <v>845</v>
      </c>
      <c r="H220" s="202" t="s">
        <v>845</v>
      </c>
      <c r="I220" s="202" t="s">
        <v>845</v>
      </c>
      <c r="J220" s="202" t="s">
        <v>845</v>
      </c>
      <c r="K220" s="155"/>
    </row>
    <row r="221" spans="1:11" x14ac:dyDescent="0.2">
      <c r="A221" s="99">
        <v>4022</v>
      </c>
      <c r="B221" s="100"/>
      <c r="C221" s="101" t="s">
        <v>941</v>
      </c>
      <c r="D221" s="149"/>
      <c r="E221" s="31">
        <v>16461297</v>
      </c>
      <c r="F221" s="31">
        <v>7666227</v>
      </c>
      <c r="G221" s="202" t="s">
        <v>845</v>
      </c>
      <c r="H221" s="202" t="s">
        <v>845</v>
      </c>
      <c r="I221" s="202" t="s">
        <v>845</v>
      </c>
      <c r="J221" s="202" t="s">
        <v>845</v>
      </c>
      <c r="K221" s="155"/>
    </row>
    <row r="222" spans="1:11" x14ac:dyDescent="0.2">
      <c r="A222" s="99">
        <v>4023</v>
      </c>
      <c r="B222" s="100"/>
      <c r="C222" s="101" t="s">
        <v>943</v>
      </c>
      <c r="D222" s="149"/>
      <c r="E222" s="31">
        <v>10265513</v>
      </c>
      <c r="F222" s="31">
        <v>698020</v>
      </c>
      <c r="G222" s="202" t="s">
        <v>845</v>
      </c>
      <c r="H222" s="202" t="s">
        <v>845</v>
      </c>
      <c r="I222" s="202" t="s">
        <v>845</v>
      </c>
      <c r="J222" s="202" t="s">
        <v>845</v>
      </c>
      <c r="K222" s="155"/>
    </row>
    <row r="223" spans="1:11" x14ac:dyDescent="0.2">
      <c r="A223" s="99">
        <v>4024</v>
      </c>
      <c r="B223" s="100"/>
      <c r="C223" s="101" t="s">
        <v>945</v>
      </c>
      <c r="D223" s="149"/>
      <c r="E223" s="31">
        <v>9165038</v>
      </c>
      <c r="F223" s="31">
        <v>419969</v>
      </c>
      <c r="G223" s="202" t="s">
        <v>845</v>
      </c>
      <c r="H223" s="202" t="s">
        <v>845</v>
      </c>
      <c r="I223" s="202" t="s">
        <v>845</v>
      </c>
      <c r="J223" s="202" t="s">
        <v>845</v>
      </c>
      <c r="K223" s="155"/>
    </row>
    <row r="224" spans="1:11" x14ac:dyDescent="0.2">
      <c r="A224" s="99">
        <v>4025</v>
      </c>
      <c r="B224" s="100"/>
      <c r="C224" s="101" t="s">
        <v>947</v>
      </c>
      <c r="D224" s="149"/>
      <c r="E224" s="31">
        <v>28070459</v>
      </c>
      <c r="F224" s="31">
        <v>24834134</v>
      </c>
      <c r="G224" s="202" t="s">
        <v>845</v>
      </c>
      <c r="H224" s="202" t="s">
        <v>845</v>
      </c>
      <c r="I224" s="202" t="s">
        <v>845</v>
      </c>
      <c r="J224" s="202" t="s">
        <v>845</v>
      </c>
      <c r="K224" s="155"/>
    </row>
    <row r="225" spans="1:11" x14ac:dyDescent="0.2">
      <c r="A225" s="99">
        <v>4026</v>
      </c>
      <c r="B225" s="100"/>
      <c r="C225" s="101" t="s">
        <v>949</v>
      </c>
      <c r="D225" s="149"/>
      <c r="E225" s="31">
        <v>14342365</v>
      </c>
      <c r="F225" s="31">
        <v>1099251</v>
      </c>
      <c r="G225" s="202" t="s">
        <v>845</v>
      </c>
      <c r="H225" s="202" t="s">
        <v>845</v>
      </c>
      <c r="I225" s="202" t="s">
        <v>845</v>
      </c>
      <c r="J225" s="202" t="s">
        <v>845</v>
      </c>
      <c r="K225" s="155"/>
    </row>
    <row r="226" spans="1:11" x14ac:dyDescent="0.2">
      <c r="A226" s="99">
        <v>4027</v>
      </c>
      <c r="B226" s="100"/>
      <c r="C226" s="101" t="s">
        <v>951</v>
      </c>
      <c r="D226" s="149"/>
      <c r="E226" s="31">
        <v>2641481</v>
      </c>
      <c r="F226" s="31">
        <v>2450785</v>
      </c>
      <c r="G226" s="202" t="s">
        <v>845</v>
      </c>
      <c r="H226" s="202" t="s">
        <v>845</v>
      </c>
      <c r="I226" s="202" t="s">
        <v>845</v>
      </c>
      <c r="J226" s="202" t="s">
        <v>845</v>
      </c>
      <c r="K226" s="155"/>
    </row>
    <row r="227" spans="1:11" x14ac:dyDescent="0.2">
      <c r="A227" s="99">
        <v>4028</v>
      </c>
      <c r="B227" s="100"/>
      <c r="C227" s="101" t="s">
        <v>265</v>
      </c>
      <c r="D227" s="149"/>
      <c r="E227" s="31">
        <v>10768387</v>
      </c>
      <c r="F227" s="31">
        <v>954583</v>
      </c>
      <c r="G227" s="202" t="s">
        <v>845</v>
      </c>
      <c r="H227" s="202" t="s">
        <v>845</v>
      </c>
      <c r="I227" s="202" t="s">
        <v>845</v>
      </c>
      <c r="J227" s="202" t="s">
        <v>845</v>
      </c>
      <c r="K227" s="155"/>
    </row>
    <row r="228" spans="1:11" x14ac:dyDescent="0.2">
      <c r="A228" s="99">
        <v>4029</v>
      </c>
      <c r="B228" s="100"/>
      <c r="C228" s="101" t="s">
        <v>953</v>
      </c>
      <c r="D228" s="149"/>
      <c r="E228" s="31">
        <v>35368091</v>
      </c>
      <c r="F228" s="31">
        <v>12734211</v>
      </c>
      <c r="G228" s="202" t="s">
        <v>845</v>
      </c>
      <c r="H228" s="202" t="s">
        <v>845</v>
      </c>
      <c r="I228" s="202" t="s">
        <v>845</v>
      </c>
      <c r="J228" s="202" t="s">
        <v>845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823</v>
      </c>
      <c r="D230" s="149"/>
      <c r="E230" s="31">
        <v>57329503</v>
      </c>
      <c r="F230" s="31">
        <v>36784418</v>
      </c>
      <c r="G230" s="31">
        <v>0</v>
      </c>
      <c r="H230" s="31">
        <f>132636595-9406799+70794000+67003301+13265997+2893063+655030</f>
        <v>277841187</v>
      </c>
      <c r="I230" s="31">
        <v>0</v>
      </c>
      <c r="J230" s="31">
        <f>E230+F230+G230+H230-I230</f>
        <v>371955108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957</v>
      </c>
      <c r="D232" s="149"/>
      <c r="E232" s="31">
        <f>SUM(E233:E237)</f>
        <v>75894209</v>
      </c>
      <c r="F232" s="31">
        <f>SUM(F233:F237)</f>
        <v>1270199</v>
      </c>
      <c r="G232" s="31">
        <f>SUM(G233:G237)</f>
        <v>350000</v>
      </c>
      <c r="H232" s="31">
        <v>353000</v>
      </c>
      <c r="I232" s="31">
        <f>SUM(I233:I237)</f>
        <v>0</v>
      </c>
      <c r="J232" s="31">
        <f>E232+F232+G232+H232-I232</f>
        <v>77867408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959</v>
      </c>
      <c r="D233" s="149"/>
      <c r="E233" s="31">
        <v>0</v>
      </c>
      <c r="F233" s="31">
        <v>0</v>
      </c>
      <c r="G233" s="31"/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961</v>
      </c>
      <c r="D234" s="149"/>
      <c r="E234" s="31">
        <v>7701078</v>
      </c>
      <c r="F234" s="31">
        <v>971249</v>
      </c>
      <c r="G234" s="31">
        <v>350000</v>
      </c>
      <c r="H234" s="31">
        <v>0</v>
      </c>
      <c r="I234" s="31"/>
      <c r="J234" s="31">
        <f>E234+F234+G234+H234</f>
        <v>9022327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963</v>
      </c>
      <c r="D235" s="149"/>
      <c r="E235" s="31">
        <v>180000</v>
      </c>
      <c r="F235" s="31">
        <v>27441</v>
      </c>
      <c r="G235" s="31"/>
      <c r="H235" s="31">
        <v>0</v>
      </c>
      <c r="I235" s="31"/>
      <c r="J235" s="31">
        <f>E235+F235+G235+H235</f>
        <v>207441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965</v>
      </c>
      <c r="D236" s="149"/>
      <c r="E236" s="31">
        <v>0</v>
      </c>
      <c r="F236" s="31">
        <v>257161</v>
      </c>
      <c r="G236" s="31"/>
      <c r="H236" s="31">
        <v>0</v>
      </c>
      <c r="I236" s="31"/>
      <c r="J236" s="31">
        <f>E236+F236+G236+H236</f>
        <v>257161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967</v>
      </c>
      <c r="D237" s="149"/>
      <c r="E237" s="31">
        <v>68013131</v>
      </c>
      <c r="F237" s="31">
        <v>14348</v>
      </c>
      <c r="G237" s="31"/>
      <c r="H237" s="31">
        <v>0</v>
      </c>
      <c r="I237" s="31"/>
      <c r="J237" s="31">
        <f>E237+F237+G237+H237</f>
        <v>68027479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969</v>
      </c>
      <c r="D239" s="149"/>
      <c r="E239" s="31">
        <f>SUM(E240:E244)</f>
        <v>18778617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18778617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971</v>
      </c>
      <c r="D240" s="149"/>
      <c r="E240" s="31">
        <v>1384288</v>
      </c>
      <c r="F240" s="31">
        <v>0</v>
      </c>
      <c r="G240" s="31">
        <v>0</v>
      </c>
      <c r="H240" s="31">
        <v>0</v>
      </c>
      <c r="I240" s="31"/>
      <c r="J240" s="31">
        <f>E240+F240+G240+H240</f>
        <v>1384288</v>
      </c>
      <c r="K240" s="103"/>
    </row>
    <row r="241" spans="1:11" x14ac:dyDescent="0.2">
      <c r="A241" s="99">
        <v>4041</v>
      </c>
      <c r="B241" s="100"/>
      <c r="C241" s="101" t="s">
        <v>973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975</v>
      </c>
      <c r="D242" s="149"/>
      <c r="E242" s="31">
        <v>129348</v>
      </c>
      <c r="F242" s="31">
        <v>0</v>
      </c>
      <c r="G242" s="31">
        <v>0</v>
      </c>
      <c r="H242" s="31">
        <v>0</v>
      </c>
      <c r="I242" s="31"/>
      <c r="J242" s="31">
        <f>E242+F242+G242+H242</f>
        <v>129348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977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834</v>
      </c>
      <c r="D244" s="149"/>
      <c r="E244" s="31">
        <v>17264981</v>
      </c>
      <c r="F244" s="31">
        <v>0</v>
      </c>
      <c r="G244" s="31">
        <v>0</v>
      </c>
      <c r="H244" s="31">
        <v>0</v>
      </c>
      <c r="I244" s="31"/>
      <c r="J244" s="31">
        <f>E244+F244+G244+H244</f>
        <v>17264981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979</v>
      </c>
      <c r="D246" s="149"/>
      <c r="E246" s="31">
        <f>+E247+E248+E249+E250</f>
        <v>47800000</v>
      </c>
      <c r="F246" s="31">
        <v>1999726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49799726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981</v>
      </c>
      <c r="D247" s="149"/>
      <c r="E247" s="31">
        <v>25000000</v>
      </c>
      <c r="F247" s="31"/>
      <c r="G247" s="31">
        <v>0</v>
      </c>
      <c r="H247" s="31">
        <v>0</v>
      </c>
      <c r="I247" s="31"/>
      <c r="J247" s="31">
        <f>E247+F247+G247+H247-I247</f>
        <v>25000000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983</v>
      </c>
      <c r="D248" s="149"/>
      <c r="E248" s="31">
        <v>10000000</v>
      </c>
      <c r="F248" s="31"/>
      <c r="G248" s="31">
        <v>0</v>
      </c>
      <c r="H248" s="31">
        <v>0</v>
      </c>
      <c r="I248" s="31"/>
      <c r="J248" s="31">
        <f>E248+F248+G248+H248-I248</f>
        <v>10000000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985</v>
      </c>
      <c r="D249" s="149"/>
      <c r="E249" s="31">
        <v>7300000</v>
      </c>
      <c r="F249" s="31"/>
      <c r="G249" s="31">
        <v>0</v>
      </c>
      <c r="H249" s="31">
        <v>0</v>
      </c>
      <c r="I249" s="31"/>
      <c r="J249" s="31">
        <f>E249+F249+G249+H249-I249</f>
        <v>7300000</v>
      </c>
      <c r="K249" s="103"/>
    </row>
    <row r="250" spans="1:11" x14ac:dyDescent="0.2">
      <c r="A250" s="99">
        <v>4093</v>
      </c>
      <c r="B250" s="100"/>
      <c r="C250" s="101" t="s">
        <v>875</v>
      </c>
      <c r="D250" s="149"/>
      <c r="E250" s="31">
        <v>5500000</v>
      </c>
      <c r="F250" s="31"/>
      <c r="G250" s="31"/>
      <c r="H250" s="31"/>
      <c r="I250" s="31"/>
      <c r="J250" s="31">
        <f>E250+F250+G250+H250-I250</f>
        <v>5500000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987</v>
      </c>
      <c r="D252" s="146"/>
      <c r="E252" s="32">
        <f>E255+E260+E271+E275+E285</f>
        <v>725935141</v>
      </c>
      <c r="F252" s="32">
        <f>F255+F260+F271+F275+F285</f>
        <v>75177311</v>
      </c>
      <c r="G252" s="32">
        <f>G255+G260+G271+G275+G285</f>
        <v>977724672</v>
      </c>
      <c r="H252" s="32">
        <f>H255+H260+H271+H275+H285</f>
        <v>60693741</v>
      </c>
      <c r="I252" s="32">
        <f>I255+I260+I271+I275+I285</f>
        <v>421496114</v>
      </c>
      <c r="J252" s="32">
        <f>E252+F252+G252+H252-I252</f>
        <v>1418034751</v>
      </c>
      <c r="K252" s="92" t="e">
        <f>J252/J$184*100</f>
        <v>#REF!</v>
      </c>
    </row>
    <row r="253" spans="1:11" x14ac:dyDescent="0.2">
      <c r="A253" s="147"/>
      <c r="B253" s="148"/>
      <c r="C253" s="96" t="s">
        <v>989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990</v>
      </c>
      <c r="D255" s="149"/>
      <c r="E255" s="31">
        <f>E256+E257+E258</f>
        <v>134029459</v>
      </c>
      <c r="F255" s="31">
        <f>F256+F257+F258</f>
        <v>5091794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139121253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992</v>
      </c>
      <c r="D256" s="149"/>
      <c r="E256" s="31">
        <v>28421949</v>
      </c>
      <c r="F256" s="31">
        <v>1163932</v>
      </c>
      <c r="G256" s="31">
        <v>0</v>
      </c>
      <c r="H256" s="31">
        <v>0</v>
      </c>
      <c r="I256" s="31"/>
      <c r="J256" s="31">
        <f>E256+F256+G256+H256</f>
        <v>29585881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994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996</v>
      </c>
      <c r="D258" s="149"/>
      <c r="E258" s="31">
        <v>105607510</v>
      </c>
      <c r="F258" s="31">
        <v>3927862</v>
      </c>
      <c r="G258" s="31">
        <v>0</v>
      </c>
      <c r="H258" s="31">
        <v>0</v>
      </c>
      <c r="I258" s="31"/>
      <c r="J258" s="31">
        <f>E258+F258+G258+H258</f>
        <v>109535372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998</v>
      </c>
      <c r="D260" s="149"/>
      <c r="E260" s="31">
        <f>SUM(E261:E269)</f>
        <v>238350700</v>
      </c>
      <c r="F260" s="31">
        <f>SUM(F261:F269)</f>
        <v>43992988</v>
      </c>
      <c r="G260" s="31">
        <f>SUM(G261:G269)</f>
        <v>901263541</v>
      </c>
      <c r="H260" s="31">
        <f>SUM(H261:H269)</f>
        <v>55269624</v>
      </c>
      <c r="I260" s="31">
        <f>SUM(I261:I269)</f>
        <v>3448053</v>
      </c>
      <c r="J260" s="31">
        <f>E260+F260+G260+H260-I260</f>
        <v>1235428800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1000</v>
      </c>
      <c r="D261" s="149"/>
      <c r="E261" s="31">
        <v>24297307</v>
      </c>
      <c r="F261" s="31">
        <v>124377</v>
      </c>
      <c r="G261" s="31">
        <v>0</v>
      </c>
      <c r="H261" s="31">
        <v>0</v>
      </c>
      <c r="I261" s="429">
        <f>+F144+G140+H141</f>
        <v>3448053</v>
      </c>
      <c r="J261" s="109">
        <f>E261+F261+G261+H261-I261</f>
        <v>20973631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1002</v>
      </c>
      <c r="D262" s="149"/>
      <c r="E262" s="31">
        <v>114198984</v>
      </c>
      <c r="F262" s="31">
        <v>189197</v>
      </c>
      <c r="G262" s="31">
        <v>0</v>
      </c>
      <c r="H262" s="31">
        <v>0</v>
      </c>
      <c r="I262" s="31"/>
      <c r="J262" s="109">
        <f>E262+F262+G262+H262-I262</f>
        <v>114388181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1004</v>
      </c>
      <c r="D263" s="149"/>
      <c r="E263" s="31">
        <v>41133140</v>
      </c>
      <c r="F263" s="31">
        <v>743189</v>
      </c>
      <c r="G263" s="31">
        <v>44815242</v>
      </c>
      <c r="H263" s="31">
        <v>0</v>
      </c>
      <c r="I263" s="31"/>
      <c r="J263" s="31">
        <f>E263+F263+G263+H263</f>
        <v>86691571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1006</v>
      </c>
      <c r="D264" s="149"/>
      <c r="E264" s="31">
        <v>22371892</v>
      </c>
      <c r="F264" s="31">
        <v>9310</v>
      </c>
      <c r="G264" s="31">
        <v>0</v>
      </c>
      <c r="H264" s="31">
        <v>0</v>
      </c>
      <c r="I264" s="31"/>
      <c r="J264" s="31">
        <f>E264+F264+G264+H264</f>
        <v>22381202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1008</v>
      </c>
      <c r="D265" s="149"/>
      <c r="E265" s="31">
        <v>0</v>
      </c>
      <c r="F265" s="31">
        <v>0</v>
      </c>
      <c r="G265" s="31">
        <v>808460085</v>
      </c>
      <c r="H265" s="31">
        <v>0</v>
      </c>
      <c r="I265" s="31"/>
      <c r="J265" s="31">
        <f>E265+F265+G265+H265</f>
        <v>808460085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1010</v>
      </c>
      <c r="D266" s="149"/>
      <c r="E266" s="31">
        <v>0</v>
      </c>
      <c r="F266" s="31">
        <v>0</v>
      </c>
      <c r="G266" s="31">
        <v>47967097</v>
      </c>
      <c r="H266" s="31">
        <v>0</v>
      </c>
      <c r="I266" s="31"/>
      <c r="J266" s="31">
        <f>E266+F266+G266+H266</f>
        <v>47967097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1012</v>
      </c>
      <c r="D267" s="149"/>
      <c r="E267" s="31">
        <v>0</v>
      </c>
      <c r="F267" s="31">
        <v>0</v>
      </c>
      <c r="G267" s="31">
        <v>0</v>
      </c>
      <c r="H267" s="31">
        <v>51831353</v>
      </c>
      <c r="I267" s="31"/>
      <c r="J267" s="109">
        <f>E267+F267+G267+H267-I267</f>
        <v>51831353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1014</v>
      </c>
      <c r="D268" s="149"/>
      <c r="E268" s="31">
        <v>25096548</v>
      </c>
      <c r="F268" s="31">
        <v>277865</v>
      </c>
      <c r="G268" s="31">
        <v>4831</v>
      </c>
      <c r="H268" s="31">
        <v>0</v>
      </c>
      <c r="I268" s="31"/>
      <c r="J268" s="31">
        <f>E268+F268+G268+H268</f>
        <v>25379244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1016</v>
      </c>
      <c r="D269" s="149"/>
      <c r="E269" s="31">
        <v>11252829</v>
      </c>
      <c r="F269" s="31">
        <v>42649050</v>
      </c>
      <c r="G269" s="31">
        <v>16286</v>
      </c>
      <c r="H269" s="31">
        <v>3438271</v>
      </c>
      <c r="I269" s="31"/>
      <c r="J269" s="31">
        <f>E269+F269+G269+H269-I269</f>
        <v>57356436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11331075</v>
      </c>
      <c r="F271" s="31">
        <f>F273</f>
        <v>13207981</v>
      </c>
      <c r="G271" s="31">
        <f>G273</f>
        <v>819346</v>
      </c>
      <c r="H271" s="31">
        <f>H273</f>
        <v>1153347</v>
      </c>
      <c r="I271" s="31">
        <f>I273</f>
        <v>0</v>
      </c>
      <c r="J271" s="31">
        <f>E271+F271+G271+H271-I271</f>
        <v>26511749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11331075</v>
      </c>
      <c r="F273" s="31">
        <v>13207981</v>
      </c>
      <c r="G273" s="31">
        <v>819346</v>
      </c>
      <c r="H273" s="31">
        <v>1153347</v>
      </c>
      <c r="I273" s="31">
        <v>0</v>
      </c>
      <c r="J273" s="31">
        <f>E273+F273+G273+H273</f>
        <v>26511749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339125940</v>
      </c>
      <c r="F275" s="31">
        <f>+F277+F280+F281</f>
        <v>12884548</v>
      </c>
      <c r="G275" s="31">
        <f>+G277+G280+G281</f>
        <v>75641785</v>
      </c>
      <c r="H275" s="31">
        <f>+H277+H280+H281+H282</f>
        <v>931437</v>
      </c>
      <c r="I275" s="31">
        <f>+I277+I280+I281+I282</f>
        <v>418048061</v>
      </c>
      <c r="J275" s="31">
        <f>E275+F275+G275+H275-I275</f>
        <v>10535649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51679464</v>
      </c>
      <c r="F277" s="109">
        <v>6397790</v>
      </c>
      <c r="G277" s="109">
        <v>0</v>
      </c>
      <c r="H277" s="109">
        <v>0</v>
      </c>
      <c r="I277" s="429">
        <f>+F134+F135+F278</f>
        <v>56509421</v>
      </c>
      <c r="J277" s="109">
        <f>E277+F277+G277+H277-I277</f>
        <v>1567833</v>
      </c>
      <c r="K277" s="103"/>
    </row>
    <row r="278" spans="1:11" x14ac:dyDescent="0.2">
      <c r="A278" s="106">
        <v>413003</v>
      </c>
      <c r="B278" s="107"/>
      <c r="C278" s="108" t="s">
        <v>930</v>
      </c>
      <c r="D278" s="157"/>
      <c r="E278" s="113"/>
      <c r="F278" s="113">
        <v>2779414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281060581</v>
      </c>
      <c r="F280" s="109">
        <v>4058407</v>
      </c>
      <c r="G280" s="109">
        <v>75641785</v>
      </c>
      <c r="H280" s="109">
        <v>922475</v>
      </c>
      <c r="I280" s="429">
        <f>G134+G136+G137+G138+G144+H137+H139+H143+H144</f>
        <v>361415578</v>
      </c>
      <c r="J280" s="109">
        <f>E280+F280+G280+H280-I280</f>
        <v>267670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6282322</v>
      </c>
      <c r="F281" s="109">
        <v>2428351</v>
      </c>
      <c r="G281" s="109">
        <v>0</v>
      </c>
      <c r="H281" s="109">
        <v>0</v>
      </c>
      <c r="I281" s="429">
        <v>0</v>
      </c>
      <c r="J281" s="109">
        <f>E281+F281+G281+H281-I281</f>
        <v>8710673</v>
      </c>
      <c r="K281" s="103"/>
    </row>
    <row r="282" spans="1:11" x14ac:dyDescent="0.2">
      <c r="A282" s="106">
        <v>4134</v>
      </c>
      <c r="B282" s="107"/>
      <c r="C282" s="108" t="s">
        <v>840</v>
      </c>
      <c r="D282" s="153"/>
      <c r="E282" s="109">
        <v>103573</v>
      </c>
      <c r="F282" s="109">
        <v>0</v>
      </c>
      <c r="G282" s="109">
        <v>0</v>
      </c>
      <c r="H282" s="109">
        <v>8962</v>
      </c>
      <c r="I282" s="428">
        <f>+E131</f>
        <v>123062</v>
      </c>
      <c r="J282" s="109">
        <f>E282+F282+G282+H282-I282</f>
        <v>-10527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3097967</v>
      </c>
      <c r="F285" s="31">
        <v>0</v>
      </c>
      <c r="G285" s="31">
        <f>SUM(G286:G289)</f>
        <v>0</v>
      </c>
      <c r="H285" s="31">
        <f>SUM(H286:H289)</f>
        <v>3339333</v>
      </c>
      <c r="I285" s="31">
        <f>SUM(I286:I289)</f>
        <v>0</v>
      </c>
      <c r="J285" s="31">
        <f>E285+F285+G285+H285-I285</f>
        <v>6437300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188569</v>
      </c>
      <c r="F286" s="31">
        <v>0</v>
      </c>
      <c r="G286" s="31">
        <v>0</v>
      </c>
      <c r="H286" s="31"/>
      <c r="I286" s="31"/>
      <c r="J286" s="31">
        <f>E286+F286+G286+H286-I286</f>
        <v>188569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565892</v>
      </c>
      <c r="F287" s="31">
        <v>0</v>
      </c>
      <c r="G287" s="31">
        <v>0</v>
      </c>
      <c r="H287" s="31"/>
      <c r="I287" s="31"/>
      <c r="J287" s="31">
        <f>E287+F287+G287+H287-I287</f>
        <v>565892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316488</v>
      </c>
      <c r="F288" s="31">
        <v>0</v>
      </c>
      <c r="G288" s="31">
        <v>0</v>
      </c>
      <c r="H288" s="31">
        <v>3339333</v>
      </c>
      <c r="I288" s="31"/>
      <c r="J288" s="31">
        <f>E288+F288+G288+H288-I288</f>
        <v>3655821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2027018</v>
      </c>
      <c r="F289" s="31">
        <v>0</v>
      </c>
      <c r="G289" s="31">
        <v>0</v>
      </c>
      <c r="H289" s="31"/>
      <c r="I289" s="31"/>
      <c r="J289" s="31">
        <f>E289+F289+G289+H289-I289</f>
        <v>2027018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81083434</v>
      </c>
      <c r="F291" s="32">
        <f>F293</f>
        <v>105305894</v>
      </c>
      <c r="G291" s="32">
        <f>G293</f>
        <v>400000</v>
      </c>
      <c r="H291" s="32">
        <f>H293</f>
        <v>1166463</v>
      </c>
      <c r="I291" s="32">
        <f>I293</f>
        <v>0</v>
      </c>
      <c r="J291" s="32">
        <f>E291+F291+G291+H291-I291</f>
        <v>187955791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81083434</v>
      </c>
      <c r="F293" s="31">
        <f>SUM(F294:F303)</f>
        <v>105305894</v>
      </c>
      <c r="G293" s="31">
        <f>SUM(G294:G303)</f>
        <v>400000</v>
      </c>
      <c r="H293" s="31">
        <v>1166463</v>
      </c>
      <c r="I293" s="31">
        <f>SUM(I294:I303)</f>
        <v>0</v>
      </c>
      <c r="J293" s="31">
        <f t="shared" ref="J293:J303" si="17">E293+F293+G293+H293-I293</f>
        <v>187955791</v>
      </c>
      <c r="K293" s="103" t="e">
        <f t="shared" ref="K293:K303" si="18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2281298</v>
      </c>
      <c r="F294" s="31">
        <v>3890342</v>
      </c>
      <c r="G294" s="31">
        <v>0</v>
      </c>
      <c r="H294" s="31">
        <v>0</v>
      </c>
      <c r="I294" s="31"/>
      <c r="J294" s="31">
        <f t="shared" si="17"/>
        <v>6171640</v>
      </c>
      <c r="K294" s="103" t="e">
        <f t="shared" si="18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1100452</v>
      </c>
      <c r="F295" s="31">
        <v>411658</v>
      </c>
      <c r="G295" s="31">
        <v>0</v>
      </c>
      <c r="H295" s="31">
        <v>0</v>
      </c>
      <c r="I295" s="31"/>
      <c r="J295" s="31">
        <f t="shared" si="17"/>
        <v>1512110</v>
      </c>
      <c r="K295" s="103" t="e">
        <f t="shared" si="18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18879868</v>
      </c>
      <c r="F296" s="31">
        <v>4307009</v>
      </c>
      <c r="G296" s="31">
        <v>400000</v>
      </c>
      <c r="H296" s="31">
        <v>0</v>
      </c>
      <c r="I296" s="31"/>
      <c r="J296" s="31">
        <f t="shared" si="17"/>
        <v>23586877</v>
      </c>
      <c r="K296" s="103" t="e">
        <f t="shared" si="18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51231</v>
      </c>
      <c r="F297" s="31">
        <v>500194</v>
      </c>
      <c r="G297" s="31">
        <v>0</v>
      </c>
      <c r="H297" s="31">
        <v>0</v>
      </c>
      <c r="I297" s="31"/>
      <c r="J297" s="31">
        <f t="shared" si="17"/>
        <v>551425</v>
      </c>
      <c r="K297" s="103" t="e">
        <f t="shared" si="18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36132549</v>
      </c>
      <c r="F298" s="31">
        <v>62931288</v>
      </c>
      <c r="G298" s="31">
        <v>0</v>
      </c>
      <c r="H298" s="31">
        <v>0</v>
      </c>
      <c r="I298" s="31"/>
      <c r="J298" s="31">
        <f t="shared" si="17"/>
        <v>99063837</v>
      </c>
      <c r="K298" s="103" t="e">
        <f t="shared" si="18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11802647</v>
      </c>
      <c r="F299" s="31">
        <v>17019151</v>
      </c>
      <c r="G299" s="31">
        <v>0</v>
      </c>
      <c r="H299" s="31"/>
      <c r="I299" s="31"/>
      <c r="J299" s="31">
        <f t="shared" si="17"/>
        <v>28821798</v>
      </c>
      <c r="K299" s="103" t="e">
        <f t="shared" si="18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2140035</v>
      </c>
      <c r="F300" s="31">
        <v>7666557</v>
      </c>
      <c r="G300" s="31">
        <v>0</v>
      </c>
      <c r="H300" s="31">
        <v>0</v>
      </c>
      <c r="I300" s="31"/>
      <c r="J300" s="31">
        <f t="shared" si="17"/>
        <v>9806592</v>
      </c>
      <c r="K300" s="103" t="e">
        <f t="shared" si="18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392954</v>
      </c>
      <c r="F301" s="31">
        <v>46207</v>
      </c>
      <c r="G301" s="31">
        <v>0</v>
      </c>
      <c r="H301" s="31">
        <v>0</v>
      </c>
      <c r="I301" s="31"/>
      <c r="J301" s="31">
        <f t="shared" si="17"/>
        <v>439161</v>
      </c>
      <c r="K301" s="103" t="e">
        <f t="shared" si="18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8280591</v>
      </c>
      <c r="F302" s="31">
        <v>8533488</v>
      </c>
      <c r="G302" s="31">
        <v>0</v>
      </c>
      <c r="H302" s="31">
        <v>0</v>
      </c>
      <c r="I302" s="31"/>
      <c r="J302" s="31">
        <f t="shared" si="17"/>
        <v>16814079</v>
      </c>
      <c r="K302" s="103" t="e">
        <f t="shared" si="18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21809</v>
      </c>
      <c r="F303" s="31">
        <v>0</v>
      </c>
      <c r="G303" s="31">
        <v>0</v>
      </c>
      <c r="H303" s="31">
        <v>0</v>
      </c>
      <c r="I303" s="31"/>
      <c r="J303" s="31">
        <f t="shared" si="17"/>
        <v>21809</v>
      </c>
      <c r="K303" s="103" t="e">
        <f t="shared" si="18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96690071</v>
      </c>
      <c r="F305" s="32">
        <f>F307</f>
        <v>42056705</v>
      </c>
      <c r="G305" s="32">
        <f>G307</f>
        <v>0</v>
      </c>
      <c r="H305" s="32">
        <f>H307</f>
        <v>0</v>
      </c>
      <c r="I305" s="32">
        <f>I307</f>
        <v>18633953</v>
      </c>
      <c r="J305" s="32">
        <f>E305+F305+G305+H305-I305</f>
        <v>120112823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96690071</v>
      </c>
      <c r="F307" s="31">
        <f>SUM(F309:F317)</f>
        <v>42056705</v>
      </c>
      <c r="G307" s="31">
        <v>0</v>
      </c>
      <c r="H307" s="31">
        <f>SUM(H309:H317)</f>
        <v>0</v>
      </c>
      <c r="I307" s="31">
        <f>SUM(I309:I317)</f>
        <v>18633953</v>
      </c>
      <c r="J307" s="31">
        <f>E307+F307+G307+H307-I307</f>
        <v>120112823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18931871</v>
      </c>
      <c r="F309" s="109">
        <v>2735316</v>
      </c>
      <c r="G309" s="109">
        <v>0</v>
      </c>
      <c r="H309" s="109">
        <v>0</v>
      </c>
      <c r="I309" s="429">
        <f>F136+F143-F278</f>
        <v>18633953</v>
      </c>
      <c r="J309" s="109">
        <f>E309+F309+G309+H309-I309</f>
        <v>3033234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1140065</v>
      </c>
      <c r="F310" s="31">
        <v>3303912</v>
      </c>
      <c r="G310" s="31">
        <v>0</v>
      </c>
      <c r="H310" s="31">
        <v>0</v>
      </c>
      <c r="I310" s="31"/>
      <c r="J310" s="31">
        <f t="shared" ref="J310:J317" si="19">E310+F310+G310+H310</f>
        <v>4443977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3056893</v>
      </c>
      <c r="F311" s="31">
        <v>2134627</v>
      </c>
      <c r="G311" s="31">
        <v>0</v>
      </c>
      <c r="H311" s="31">
        <v>0</v>
      </c>
      <c r="I311" s="31"/>
      <c r="J311" s="31">
        <f t="shared" si="19"/>
        <v>5191520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43703590</v>
      </c>
      <c r="F312" s="31">
        <v>16227161</v>
      </c>
      <c r="G312" s="31">
        <v>0</v>
      </c>
      <c r="H312" s="31">
        <v>0</v>
      </c>
      <c r="I312" s="31"/>
      <c r="J312" s="31">
        <f t="shared" si="19"/>
        <v>59930751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9303</v>
      </c>
      <c r="G313" s="31">
        <v>0</v>
      </c>
      <c r="H313" s="31">
        <v>0</v>
      </c>
      <c r="I313" s="31"/>
      <c r="J313" s="31">
        <f t="shared" si="19"/>
        <v>9303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14742581</v>
      </c>
      <c r="F314" s="31">
        <v>1274674</v>
      </c>
      <c r="G314" s="31">
        <v>0</v>
      </c>
      <c r="H314" s="31">
        <v>0</v>
      </c>
      <c r="I314" s="31"/>
      <c r="J314" s="31">
        <f t="shared" si="19"/>
        <v>16017255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6846796</v>
      </c>
      <c r="F315" s="31">
        <v>217316</v>
      </c>
      <c r="G315" s="31">
        <v>0</v>
      </c>
      <c r="H315" s="31">
        <v>0</v>
      </c>
      <c r="I315" s="31"/>
      <c r="J315" s="31">
        <f t="shared" si="19"/>
        <v>7064112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8237046</v>
      </c>
      <c r="F316" s="31">
        <v>16154396</v>
      </c>
      <c r="G316" s="31">
        <v>0</v>
      </c>
      <c r="H316" s="31">
        <v>0</v>
      </c>
      <c r="I316" s="31"/>
      <c r="J316" s="31">
        <f t="shared" si="19"/>
        <v>24391442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1">
        <v>31229</v>
      </c>
      <c r="F317" s="31">
        <v>0</v>
      </c>
      <c r="G317" s="31">
        <v>0</v>
      </c>
      <c r="H317" s="31">
        <v>0</v>
      </c>
      <c r="I317" s="31"/>
      <c r="J317" s="31">
        <f t="shared" si="19"/>
        <v>31229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913</v>
      </c>
      <c r="D319" s="146"/>
      <c r="E319" s="32">
        <f>+E321</f>
        <v>88124400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88124400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914</v>
      </c>
      <c r="D321" s="424"/>
      <c r="E321" s="383">
        <f>+E322+E327+E330+E333</f>
        <v>88124400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88124400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915</v>
      </c>
      <c r="D322" s="424"/>
      <c r="E322" s="383">
        <f>+E323+E324+E325</f>
        <v>13749800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13749800</v>
      </c>
      <c r="K322" s="425"/>
    </row>
    <row r="323" spans="1:11" x14ac:dyDescent="0.2">
      <c r="A323" s="204">
        <v>450000</v>
      </c>
      <c r="B323" s="205"/>
      <c r="C323" s="206" t="s">
        <v>916</v>
      </c>
      <c r="D323" s="424"/>
      <c r="E323" s="383">
        <v>13749800</v>
      </c>
      <c r="F323" s="383"/>
      <c r="G323" s="383"/>
      <c r="H323" s="383"/>
      <c r="I323" s="383"/>
      <c r="J323" s="383">
        <f>+E323+F323+G323+H323-I323</f>
        <v>13749800</v>
      </c>
      <c r="K323" s="425"/>
    </row>
    <row r="324" spans="1:11" x14ac:dyDescent="0.2">
      <c r="A324" s="204">
        <v>450001</v>
      </c>
      <c r="B324" s="205"/>
      <c r="C324" s="206" t="s">
        <v>917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918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919</v>
      </c>
      <c r="D327" s="424"/>
      <c r="E327" s="383">
        <f>+E328</f>
        <v>10028000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10028000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920</v>
      </c>
      <c r="D328" s="424"/>
      <c r="E328" s="383">
        <v>10028000</v>
      </c>
      <c r="F328" s="383"/>
      <c r="G328" s="383"/>
      <c r="H328" s="383"/>
      <c r="I328" s="383"/>
      <c r="J328" s="383">
        <f>+E328+F328+G328+H328-I328</f>
        <v>10028000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921</v>
      </c>
      <c r="D330" s="424"/>
      <c r="E330" s="383">
        <f>+E331</f>
        <v>56547000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56547000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922</v>
      </c>
      <c r="D331" s="424"/>
      <c r="E331" s="383">
        <v>56547000</v>
      </c>
      <c r="F331" s="383"/>
      <c r="G331" s="383"/>
      <c r="H331" s="383"/>
      <c r="I331" s="383"/>
      <c r="J331" s="383">
        <f>+E331+F331+G331+H331-I331</f>
        <v>56547000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923</v>
      </c>
      <c r="D333" s="424"/>
      <c r="E333" s="383">
        <f>+E334</f>
        <v>7799600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7799600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924</v>
      </c>
      <c r="D334" s="424"/>
      <c r="E334" s="383">
        <v>7799600</v>
      </c>
      <c r="F334" s="383"/>
      <c r="G334" s="383"/>
      <c r="H334" s="383"/>
      <c r="I334" s="383"/>
      <c r="J334" s="383">
        <f>+E334+F334+G334+H334-I334</f>
        <v>7799600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828</v>
      </c>
      <c r="D338" s="142"/>
      <c r="E338" s="73">
        <f t="shared" ref="E338:J338" si="21">E22-E187</f>
        <v>-209668644</v>
      </c>
      <c r="F338" s="73">
        <f t="shared" si="21"/>
        <v>-3346351</v>
      </c>
      <c r="G338" s="73">
        <f t="shared" si="21"/>
        <v>6375000</v>
      </c>
      <c r="H338" s="73">
        <f t="shared" si="21"/>
        <v>22585532</v>
      </c>
      <c r="I338" s="73">
        <f t="shared" si="21"/>
        <v>0</v>
      </c>
      <c r="J338" s="167">
        <f t="shared" si="21"/>
        <v>-184054463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829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2">(E22-E81)-(E187-E232-E239)</f>
        <v>-121152558</v>
      </c>
      <c r="F344" s="73">
        <f t="shared" si="22"/>
        <v>-4402635</v>
      </c>
      <c r="G344" s="73">
        <f t="shared" si="22"/>
        <v>6509859</v>
      </c>
      <c r="H344" s="73">
        <f t="shared" si="22"/>
        <v>22879198</v>
      </c>
      <c r="I344" s="73">
        <f t="shared" si="22"/>
        <v>0</v>
      </c>
      <c r="J344" s="73">
        <f t="shared" si="22"/>
        <v>-96166136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3">E25-(E190+E252)</f>
        <v>-19615477</v>
      </c>
      <c r="F349" s="73">
        <f t="shared" si="23"/>
        <v>51111742</v>
      </c>
      <c r="G349" s="73">
        <f t="shared" si="23"/>
        <v>-270302258</v>
      </c>
      <c r="H349" s="73">
        <f t="shared" si="23"/>
        <v>-63881758</v>
      </c>
      <c r="I349" s="73">
        <f t="shared" si="23"/>
        <v>-421496114</v>
      </c>
      <c r="J349" s="73">
        <f t="shared" si="23"/>
        <v>118808363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841</v>
      </c>
      <c r="C356" s="239" t="s">
        <v>842</v>
      </c>
      <c r="D356" s="239" t="s">
        <v>843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208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209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210</v>
      </c>
      <c r="J361" s="282" t="s">
        <v>211</v>
      </c>
      <c r="K361" s="277" t="s">
        <v>212</v>
      </c>
    </row>
    <row r="362" spans="1:11" ht="15.75" x14ac:dyDescent="0.25">
      <c r="A362" s="329" t="s">
        <v>213</v>
      </c>
      <c r="B362" s="242"/>
      <c r="C362" s="345"/>
      <c r="D362" s="374"/>
      <c r="E362" s="283" t="s">
        <v>214</v>
      </c>
      <c r="F362" s="284" t="s">
        <v>215</v>
      </c>
      <c r="G362" s="288" t="s">
        <v>216</v>
      </c>
      <c r="H362" s="289" t="s">
        <v>217</v>
      </c>
      <c r="I362" s="285" t="s">
        <v>218</v>
      </c>
      <c r="J362" s="285" t="s">
        <v>219</v>
      </c>
      <c r="K362" s="277" t="s">
        <v>220</v>
      </c>
    </row>
    <row r="363" spans="1:11" ht="15.75" x14ac:dyDescent="0.25">
      <c r="A363" s="307"/>
      <c r="B363" s="242"/>
      <c r="C363" s="345"/>
      <c r="D363" s="374"/>
      <c r="E363" s="283" t="s">
        <v>221</v>
      </c>
      <c r="F363" s="284" t="s">
        <v>222</v>
      </c>
      <c r="G363" s="288"/>
      <c r="H363" s="289"/>
      <c r="I363" s="294" t="s">
        <v>223</v>
      </c>
      <c r="J363" s="285" t="s">
        <v>224</v>
      </c>
      <c r="K363" s="277" t="s">
        <v>225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226</v>
      </c>
      <c r="J364" s="286"/>
      <c r="K364" s="287" t="s">
        <v>228</v>
      </c>
    </row>
    <row r="365" spans="1:11" ht="15.75" thickTop="1" x14ac:dyDescent="0.2">
      <c r="A365" s="57"/>
      <c r="B365" s="58"/>
      <c r="C365" s="59"/>
      <c r="D365" s="60"/>
      <c r="E365" s="260" t="s">
        <v>229</v>
      </c>
      <c r="F365" s="260" t="s">
        <v>230</v>
      </c>
      <c r="G365" s="260" t="s">
        <v>231</v>
      </c>
      <c r="H365" s="260" t="s">
        <v>232</v>
      </c>
      <c r="I365" s="260" t="s">
        <v>233</v>
      </c>
      <c r="J365" s="260" t="s">
        <v>234</v>
      </c>
      <c r="K365" s="272"/>
    </row>
    <row r="366" spans="1:11" ht="15.75" x14ac:dyDescent="0.25">
      <c r="A366" s="190"/>
      <c r="B366" s="191" t="s">
        <v>100</v>
      </c>
      <c r="C366" s="192" t="s">
        <v>674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676</v>
      </c>
      <c r="D367" s="193"/>
      <c r="E367" s="194">
        <f t="shared" ref="E367:J367" si="24">E369+E379+E384</f>
        <v>8500000</v>
      </c>
      <c r="F367" s="194">
        <f t="shared" si="24"/>
        <v>3555335</v>
      </c>
      <c r="G367" s="194">
        <f t="shared" si="24"/>
        <v>70500</v>
      </c>
      <c r="H367" s="194">
        <f t="shared" si="24"/>
        <v>0</v>
      </c>
      <c r="I367" s="194">
        <f t="shared" si="24"/>
        <v>0</v>
      </c>
      <c r="J367" s="196">
        <f t="shared" si="24"/>
        <v>12125835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678</v>
      </c>
      <c r="D369" s="149"/>
      <c r="E369" s="31">
        <f>SUM(E370:E377)</f>
        <v>8500000</v>
      </c>
      <c r="F369" s="31">
        <v>1883761</v>
      </c>
      <c r="G369" s="31">
        <f>SUM(G370:G377)</f>
        <v>70500</v>
      </c>
      <c r="H369" s="31">
        <f>SUM(H370:H377)</f>
        <v>0</v>
      </c>
      <c r="I369" s="31">
        <f>SUM(I370:I377)</f>
        <v>0</v>
      </c>
      <c r="J369" s="31">
        <f>+E369+F369+G369+H369-I369</f>
        <v>10454261</v>
      </c>
      <c r="K369" s="103" t="e">
        <f t="shared" ref="K369:K377" si="25">J369/J$184*100</f>
        <v>#REF!</v>
      </c>
    </row>
    <row r="370" spans="1:11" x14ac:dyDescent="0.2">
      <c r="A370" s="99">
        <v>7500</v>
      </c>
      <c r="B370" s="100"/>
      <c r="C370" s="101" t="s">
        <v>680</v>
      </c>
      <c r="D370" s="149"/>
      <c r="E370" s="31"/>
      <c r="F370" s="31"/>
      <c r="G370" s="31">
        <v>70500</v>
      </c>
      <c r="H370" s="31">
        <v>0</v>
      </c>
      <c r="I370" s="31"/>
      <c r="J370" s="31">
        <f t="shared" ref="J370:J376" si="26">E370+F370+G370+H370-I370</f>
        <v>70500</v>
      </c>
      <c r="K370" s="103" t="e">
        <f t="shared" si="25"/>
        <v>#REF!</v>
      </c>
    </row>
    <row r="371" spans="1:11" x14ac:dyDescent="0.2">
      <c r="A371" s="99">
        <v>7501</v>
      </c>
      <c r="B371" s="100"/>
      <c r="C371" s="101" t="s">
        <v>876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1" x14ac:dyDescent="0.2">
      <c r="A372" s="99">
        <v>7502</v>
      </c>
      <c r="B372" s="100"/>
      <c r="C372" s="101" t="s">
        <v>682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6"/>
        <v>0</v>
      </c>
      <c r="K372" s="103" t="e">
        <f t="shared" si="25"/>
        <v>#REF!</v>
      </c>
    </row>
    <row r="373" spans="1:11" x14ac:dyDescent="0.2">
      <c r="A373" s="99">
        <v>7503</v>
      </c>
      <c r="B373" s="100"/>
      <c r="C373" s="101" t="s">
        <v>877</v>
      </c>
      <c r="D373" s="149"/>
      <c r="E373" s="31">
        <v>7300000</v>
      </c>
      <c r="F373" s="31"/>
      <c r="G373" s="31">
        <v>0</v>
      </c>
      <c r="H373" s="31">
        <v>0</v>
      </c>
      <c r="I373" s="31"/>
      <c r="J373" s="31">
        <f t="shared" si="26"/>
        <v>7300000</v>
      </c>
      <c r="K373" s="103" t="e">
        <f t="shared" si="25"/>
        <v>#REF!</v>
      </c>
    </row>
    <row r="374" spans="1:11" s="423" customFormat="1" x14ac:dyDescent="0.2">
      <c r="A374" s="99">
        <v>7504</v>
      </c>
      <c r="B374" s="100"/>
      <c r="C374" s="101" t="s">
        <v>686</v>
      </c>
      <c r="D374" s="149"/>
      <c r="E374" s="31">
        <v>1200000</v>
      </c>
      <c r="F374" s="31"/>
      <c r="G374" s="31">
        <v>0</v>
      </c>
      <c r="H374" s="31">
        <v>0</v>
      </c>
      <c r="I374" s="31"/>
      <c r="J374" s="31">
        <f t="shared" si="26"/>
        <v>1200000</v>
      </c>
      <c r="K374" s="103" t="e">
        <f t="shared" si="25"/>
        <v>#REF!</v>
      </c>
    </row>
    <row r="375" spans="1:11" s="423" customFormat="1" x14ac:dyDescent="0.2">
      <c r="A375" s="99">
        <v>7505</v>
      </c>
      <c r="B375" s="100"/>
      <c r="C375" s="101" t="s">
        <v>688</v>
      </c>
      <c r="D375" s="149"/>
      <c r="E375" s="31"/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</row>
    <row r="376" spans="1:11" x14ac:dyDescent="0.2">
      <c r="A376" s="99">
        <v>7506</v>
      </c>
      <c r="B376" s="100"/>
      <c r="C376" s="101" t="s">
        <v>692</v>
      </c>
      <c r="D376" s="149"/>
      <c r="E376" s="31"/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1" x14ac:dyDescent="0.2">
      <c r="A377" s="99">
        <v>7507</v>
      </c>
      <c r="B377" s="100"/>
      <c r="C377" s="101" t="s">
        <v>690</v>
      </c>
      <c r="D377" s="149"/>
      <c r="E377" s="31"/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676</v>
      </c>
      <c r="D379" s="149"/>
      <c r="E379" s="31">
        <f>SUM(E380:E382)</f>
        <v>0</v>
      </c>
      <c r="F379" s="31">
        <v>1281064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1281064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694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696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698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700</v>
      </c>
      <c r="D384" s="149"/>
      <c r="E384" s="31">
        <f>E385</f>
        <v>0</v>
      </c>
      <c r="F384" s="31">
        <v>390510</v>
      </c>
      <c r="G384" s="31">
        <f>G385</f>
        <v>0</v>
      </c>
      <c r="H384" s="31">
        <f>H385</f>
        <v>0</v>
      </c>
      <c r="I384" s="31">
        <f>I385</f>
        <v>0</v>
      </c>
      <c r="J384" s="31">
        <f>+E384+F384+G384+H384-I384</f>
        <v>390510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0</v>
      </c>
      <c r="G385" s="31">
        <v>0</v>
      </c>
      <c r="H385" s="31">
        <v>0</v>
      </c>
      <c r="I385" s="31">
        <v>0</v>
      </c>
      <c r="J385" s="31">
        <f>E385+F385+G385+H385-I385</f>
        <v>0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7">E391+E400+E408+E413</f>
        <v>98841</v>
      </c>
      <c r="F389" s="73">
        <f t="shared" si="27"/>
        <v>1412197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1511038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98841</v>
      </c>
      <c r="F391" s="31">
        <v>996665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1095506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/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/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/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98841</v>
      </c>
      <c r="F396" s="31"/>
      <c r="G396" s="31">
        <v>0</v>
      </c>
      <c r="H396" s="31">
        <v>0</v>
      </c>
      <c r="I396" s="31">
        <v>0</v>
      </c>
      <c r="J396" s="31">
        <f t="shared" si="29"/>
        <v>98841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/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/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0</v>
      </c>
      <c r="F400" s="31">
        <v>402674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402674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701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703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705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1"/>
        <v>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707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709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1"/>
        <v>0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835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711</v>
      </c>
      <c r="D408" s="149"/>
      <c r="E408" s="31">
        <f>SUM(E409:E411)</f>
        <v>0</v>
      </c>
      <c r="F408" s="31">
        <v>12858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12858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713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715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824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878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83">
        <f>+E413+F413+G413+H413+-I413</f>
        <v>0</v>
      </c>
      <c r="K413" s="425"/>
    </row>
    <row r="414" spans="1:11" x14ac:dyDescent="0.2">
      <c r="A414" s="204">
        <v>4430</v>
      </c>
      <c r="B414" s="205"/>
      <c r="C414" s="206" t="s">
        <v>879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717</v>
      </c>
      <c r="C417" s="77" t="s">
        <v>718</v>
      </c>
      <c r="D417" s="142"/>
      <c r="E417" s="73">
        <f t="shared" ref="E417:J417" si="32">E367-E389</f>
        <v>8401159</v>
      </c>
      <c r="F417" s="73">
        <f t="shared" si="32"/>
        <v>2143138</v>
      </c>
      <c r="G417" s="73">
        <f t="shared" si="32"/>
        <v>70500</v>
      </c>
      <c r="H417" s="73">
        <f t="shared" si="32"/>
        <v>0</v>
      </c>
      <c r="I417" s="73">
        <f t="shared" si="32"/>
        <v>0</v>
      </c>
      <c r="J417" s="199">
        <f t="shared" si="32"/>
        <v>10614797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719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721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791</v>
      </c>
      <c r="C424" s="239" t="s">
        <v>792</v>
      </c>
      <c r="D424" s="262" t="s">
        <v>844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208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209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210</v>
      </c>
      <c r="J429" s="282" t="s">
        <v>211</v>
      </c>
      <c r="K429" s="277" t="s">
        <v>212</v>
      </c>
    </row>
    <row r="430" spans="1:11" ht="15.75" x14ac:dyDescent="0.25">
      <c r="A430" s="329" t="s">
        <v>213</v>
      </c>
      <c r="B430" s="242"/>
      <c r="C430" s="345"/>
      <c r="D430" s="374"/>
      <c r="E430" s="283" t="s">
        <v>214</v>
      </c>
      <c r="F430" s="284" t="s">
        <v>215</v>
      </c>
      <c r="G430" s="288" t="s">
        <v>216</v>
      </c>
      <c r="H430" s="289" t="s">
        <v>217</v>
      </c>
      <c r="I430" s="285" t="s">
        <v>218</v>
      </c>
      <c r="J430" s="285" t="s">
        <v>219</v>
      </c>
      <c r="K430" s="277" t="s">
        <v>220</v>
      </c>
    </row>
    <row r="431" spans="1:11" ht="15.75" x14ac:dyDescent="0.25">
      <c r="A431" s="307"/>
      <c r="B431" s="242"/>
      <c r="C431" s="345"/>
      <c r="D431" s="374"/>
      <c r="E431" s="283" t="s">
        <v>221</v>
      </c>
      <c r="F431" s="284" t="s">
        <v>222</v>
      </c>
      <c r="G431" s="288"/>
      <c r="H431" s="289"/>
      <c r="I431" s="294" t="s">
        <v>223</v>
      </c>
      <c r="J431" s="285" t="s">
        <v>224</v>
      </c>
      <c r="K431" s="277" t="s">
        <v>225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226</v>
      </c>
      <c r="J432" s="286"/>
      <c r="K432" s="287" t="s">
        <v>228</v>
      </c>
    </row>
    <row r="433" spans="1:11" ht="15.75" thickTop="1" x14ac:dyDescent="0.2">
      <c r="A433" s="57"/>
      <c r="B433" s="58"/>
      <c r="C433" s="59"/>
      <c r="D433" s="60"/>
      <c r="E433" s="260" t="s">
        <v>229</v>
      </c>
      <c r="F433" s="260" t="s">
        <v>230</v>
      </c>
      <c r="G433" s="260" t="s">
        <v>231</v>
      </c>
      <c r="H433" s="260" t="s">
        <v>232</v>
      </c>
      <c r="I433" s="260" t="s">
        <v>233</v>
      </c>
      <c r="J433" s="260" t="s">
        <v>234</v>
      </c>
      <c r="K433" s="272"/>
    </row>
    <row r="434" spans="1:11" ht="15.75" x14ac:dyDescent="0.25">
      <c r="A434" s="69"/>
      <c r="B434" s="70" t="s">
        <v>830</v>
      </c>
      <c r="C434" s="77" t="s">
        <v>730</v>
      </c>
      <c r="D434" s="142"/>
      <c r="E434" s="73">
        <f>+E436+E445</f>
        <v>526457477</v>
      </c>
      <c r="F434" s="73">
        <f>F436+F445</f>
        <v>4224532</v>
      </c>
      <c r="G434" s="73">
        <f>G436+G445</f>
        <v>0</v>
      </c>
      <c r="H434" s="73">
        <f>H436+H445</f>
        <v>-22585532</v>
      </c>
      <c r="I434" s="73">
        <v>0</v>
      </c>
      <c r="J434" s="199">
        <f>E434+F434+G434+H434</f>
        <v>508096477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732</v>
      </c>
      <c r="D436" s="149"/>
      <c r="E436" s="259">
        <v>526457477</v>
      </c>
      <c r="F436" s="259">
        <v>4224532</v>
      </c>
      <c r="G436" s="259">
        <f>+G438+G439+G440+G441+G443</f>
        <v>0</v>
      </c>
      <c r="H436" s="259">
        <f>+H438+H439+H440+H441+H443</f>
        <v>-22585532</v>
      </c>
      <c r="I436" s="259">
        <f>+I438+I439+I440+I441+I443</f>
        <v>0</v>
      </c>
      <c r="J436" s="259">
        <f>+E436+F436+G436+H436-I436</f>
        <v>508096477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734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736</v>
      </c>
      <c r="D439" s="149"/>
      <c r="E439" s="202"/>
      <c r="F439" s="202"/>
      <c r="G439" s="202"/>
      <c r="H439" s="202">
        <v>-22585532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738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740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742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744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746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748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750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752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754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744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757</v>
      </c>
      <c r="C454" s="77" t="s">
        <v>758</v>
      </c>
      <c r="D454" s="142"/>
      <c r="E454" s="73">
        <f t="shared" ref="E454:J454" si="33">E456+E466</f>
        <v>339962987</v>
      </c>
      <c r="F454" s="73">
        <f t="shared" si="33"/>
        <v>2798821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348571558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760</v>
      </c>
      <c r="D456" s="149"/>
      <c r="E456" s="31">
        <f>+E458+E459+E460+E461+E463+E464</f>
        <v>329710752</v>
      </c>
      <c r="F456" s="31">
        <v>2798821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338319323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762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764</v>
      </c>
      <c r="D459" s="149"/>
      <c r="E459" s="31">
        <v>23552897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29362647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766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772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831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802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775</v>
      </c>
      <c r="D464" s="149"/>
      <c r="E464" s="31">
        <v>306157855</v>
      </c>
      <c r="F464" s="31"/>
      <c r="G464" s="31">
        <v>0</v>
      </c>
      <c r="H464" s="31">
        <v>0</v>
      </c>
      <c r="I464" s="31">
        <v>0</v>
      </c>
      <c r="J464" s="31">
        <f>E464+F464+G464+H464</f>
        <v>306157855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777</v>
      </c>
      <c r="D466" s="149"/>
      <c r="E466" s="31">
        <f>SUM(E468:E472)</f>
        <v>10252235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10252235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779</v>
      </c>
      <c r="D468" s="149"/>
      <c r="E468" s="31">
        <v>8620021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8620021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781</v>
      </c>
      <c r="D469" s="149"/>
      <c r="E469" s="31"/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783</v>
      </c>
      <c r="D470" s="149"/>
      <c r="E470" s="31">
        <v>1632214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1632214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785</v>
      </c>
      <c r="D471" s="149"/>
      <c r="E471" s="31"/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836</v>
      </c>
      <c r="D472" s="149"/>
      <c r="E472" s="31"/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0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803</v>
      </c>
      <c r="C474" s="213" t="s">
        <v>789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804</v>
      </c>
      <c r="D475" s="220"/>
      <c r="E475" s="221">
        <f t="shared" ref="E475:J475" si="34">E22+E367+E434-E187-E389-E454</f>
        <v>-14772995</v>
      </c>
      <c r="F475" s="221">
        <f t="shared" si="34"/>
        <v>222498</v>
      </c>
      <c r="G475" s="221">
        <f t="shared" si="34"/>
        <v>635750</v>
      </c>
      <c r="H475" s="221">
        <f t="shared" si="34"/>
        <v>0</v>
      </c>
      <c r="I475" s="221">
        <f t="shared" si="34"/>
        <v>0</v>
      </c>
      <c r="J475" s="222">
        <f t="shared" si="34"/>
        <v>-13914747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787</v>
      </c>
      <c r="C477" s="228" t="s">
        <v>805</v>
      </c>
      <c r="D477" s="229"/>
      <c r="E477" s="230">
        <f t="shared" ref="E477:J477" si="35">E417+E434-E454-E475</f>
        <v>209668644</v>
      </c>
      <c r="F477" s="230">
        <f t="shared" si="35"/>
        <v>3346351</v>
      </c>
      <c r="G477" s="230">
        <f t="shared" si="35"/>
        <v>-6375000</v>
      </c>
      <c r="H477" s="230">
        <f t="shared" si="35"/>
        <v>-22585532</v>
      </c>
      <c r="I477" s="230">
        <f t="shared" si="35"/>
        <v>0</v>
      </c>
      <c r="J477" s="231">
        <f t="shared" si="35"/>
        <v>184054463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43" right="0.38" top="0.49" bottom="0.59" header="0.36" footer="0.5"/>
  <pageSetup paperSize="9" scale="56" fitToHeight="0" orientation="portrait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K472"/>
  <sheetViews>
    <sheetView topLeftCell="A76" zoomScale="60" workbookViewId="0">
      <selection activeCell="M20" sqref="M2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194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E25+E100+E118+E129+E138</f>
        <v>0</v>
      </c>
      <c r="F22" s="73">
        <f>F25+F100+F118+F129+F138</f>
        <v>0</v>
      </c>
      <c r="G22" s="73">
        <f>G25+G100+G118+G129+G138</f>
        <v>0</v>
      </c>
      <c r="H22" s="73">
        <f>H25+H100+H118+H129+H138</f>
        <v>0</v>
      </c>
      <c r="I22" s="73">
        <f>I25+I100+I118+I129+I138</f>
        <v>0</v>
      </c>
      <c r="J22" s="75">
        <f>E22+F22+G22+H22-I22</f>
        <v>0</v>
      </c>
      <c r="K22" s="76" t="e">
        <f>J22/J$175*100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0</v>
      </c>
      <c r="F25" s="32">
        <f t="shared" si="0"/>
        <v>0</v>
      </c>
      <c r="G25" s="32">
        <f t="shared" si="0"/>
        <v>0</v>
      </c>
      <c r="H25" s="32">
        <f t="shared" si="0"/>
        <v>0</v>
      </c>
      <c r="I25" s="32">
        <f t="shared" si="0"/>
        <v>0</v>
      </c>
      <c r="J25" s="32">
        <f t="shared" si="0"/>
        <v>0</v>
      </c>
      <c r="K25" s="92" t="e">
        <f>J25/J$175*100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0</v>
      </c>
      <c r="F28" s="32">
        <f t="shared" si="1"/>
        <v>0</v>
      </c>
      <c r="G28" s="32">
        <f t="shared" si="1"/>
        <v>0</v>
      </c>
      <c r="H28" s="32">
        <f t="shared" si="1"/>
        <v>0</v>
      </c>
      <c r="I28" s="32">
        <f t="shared" si="1"/>
        <v>0</v>
      </c>
      <c r="J28" s="32">
        <f t="shared" si="1"/>
        <v>0</v>
      </c>
      <c r="K28" s="92" t="e">
        <f>J28/J$175*100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0</v>
      </c>
      <c r="F31" s="31">
        <f t="shared" si="2"/>
        <v>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0</v>
      </c>
      <c r="K31" s="103" t="e">
        <f>J31/J$175*100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/>
      <c r="F32" s="31"/>
      <c r="G32" s="31">
        <v>0</v>
      </c>
      <c r="H32" s="31">
        <v>0</v>
      </c>
      <c r="I32" s="31"/>
      <c r="J32" s="31">
        <f>E32+F32+G32+H32</f>
        <v>0</v>
      </c>
      <c r="K32" s="103" t="e">
        <f>J32/J$175*100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/>
      <c r="F33" s="31">
        <v>0</v>
      </c>
      <c r="G33" s="31">
        <v>0</v>
      </c>
      <c r="H33" s="31">
        <v>0</v>
      </c>
      <c r="I33" s="31"/>
      <c r="J33" s="31">
        <f>E33+F33+G33+H33</f>
        <v>0</v>
      </c>
      <c r="K33" s="103" t="e">
        <f>J33/J$175*100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>+I38</f>
        <v>0</v>
      </c>
      <c r="J36" s="31">
        <f t="shared" si="3"/>
        <v>0</v>
      </c>
      <c r="K36" s="103" t="e">
        <f>J36/J$175*100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/>
      <c r="F37" s="31">
        <v>0</v>
      </c>
      <c r="G37" s="31"/>
      <c r="H37" s="31"/>
      <c r="I37" s="31"/>
      <c r="J37" s="31">
        <f>E37+F37+G37+H37</f>
        <v>0</v>
      </c>
      <c r="K37" s="103" t="e">
        <f>J37/J$175*100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/>
      <c r="F38" s="109">
        <v>0</v>
      </c>
      <c r="G38" s="109"/>
      <c r="H38" s="109"/>
      <c r="I38" s="427">
        <f>+I197</f>
        <v>0</v>
      </c>
      <c r="J38" s="109">
        <f>E38+F38+G38+H38-I38</f>
        <v>0</v>
      </c>
      <c r="K38" s="103" t="e">
        <f>J38/J$175*100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/>
      <c r="F39" s="31">
        <v>0</v>
      </c>
      <c r="G39" s="31"/>
      <c r="H39" s="31"/>
      <c r="I39" s="31"/>
      <c r="J39" s="31">
        <f>E39+F39+G39+H39</f>
        <v>0</v>
      </c>
      <c r="K39" s="103" t="e">
        <f>J39/J$175*100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/>
      <c r="F40" s="31">
        <v>0</v>
      </c>
      <c r="G40" s="31"/>
      <c r="H40" s="31"/>
      <c r="I40" s="31"/>
      <c r="J40" s="31">
        <f>E40+F40+G40+H40</f>
        <v>0</v>
      </c>
      <c r="K40" s="103" t="e">
        <f>J40/J$175*100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0</v>
      </c>
      <c r="K42" s="103" t="e">
        <f>J42/J$175*100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/>
      <c r="F43" s="31">
        <v>0</v>
      </c>
      <c r="G43" s="31">
        <v>0</v>
      </c>
      <c r="H43" s="31">
        <v>0</v>
      </c>
      <c r="I43" s="31"/>
      <c r="J43" s="31">
        <f>E43+F43+G43+H43</f>
        <v>0</v>
      </c>
      <c r="K43" s="103" t="e">
        <f>J43/J$175*100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/>
      <c r="F44" s="31">
        <v>0</v>
      </c>
      <c r="G44" s="31">
        <v>0</v>
      </c>
      <c r="H44" s="31">
        <v>0</v>
      </c>
      <c r="I44" s="31"/>
      <c r="J44" s="31">
        <f>E44+F44+G44+H44</f>
        <v>0</v>
      </c>
      <c r="K44" s="103" t="e">
        <f>J44/J$175*100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0</v>
      </c>
      <c r="F46" s="31">
        <f t="shared" si="5"/>
        <v>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0</v>
      </c>
      <c r="K46" s="103" t="e">
        <f>J46/J$175*100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/>
      <c r="F47" s="31"/>
      <c r="G47" s="31">
        <v>0</v>
      </c>
      <c r="H47" s="31">
        <v>0</v>
      </c>
      <c r="I47" s="31"/>
      <c r="J47" s="31">
        <f>E47+F47+G47+H47</f>
        <v>0</v>
      </c>
      <c r="K47" s="103" t="e">
        <f>J47/J$175*100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/>
      <c r="F48" s="31"/>
      <c r="G48" s="31">
        <v>0</v>
      </c>
      <c r="H48" s="31">
        <v>0</v>
      </c>
      <c r="I48" s="31"/>
      <c r="J48" s="31">
        <f>E48+F48+G48+H48</f>
        <v>0</v>
      </c>
      <c r="K48" s="103" t="e">
        <f>J48/J$175*100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/>
      <c r="F49" s="31"/>
      <c r="G49" s="31">
        <v>0</v>
      </c>
      <c r="H49" s="31">
        <v>0</v>
      </c>
      <c r="I49" s="31"/>
      <c r="J49" s="31">
        <f>E49+F49+G49+H49</f>
        <v>0</v>
      </c>
      <c r="K49" s="103" t="e">
        <f>J49/J$175*100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/>
      <c r="F50" s="31"/>
      <c r="G50" s="31">
        <v>0</v>
      </c>
      <c r="H50" s="31">
        <v>0</v>
      </c>
      <c r="I50" s="31"/>
      <c r="J50" s="31">
        <f>E50+F50+G50+H50</f>
        <v>0</v>
      </c>
      <c r="K50" s="103" t="e">
        <f>J50/J$175*100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0</v>
      </c>
      <c r="F52" s="31">
        <f>SUM(F53:F61)</f>
        <v>0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0</v>
      </c>
      <c r="K52" s="103" t="e">
        <f t="shared" ref="K52:K61" si="6">J52/J$175*100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/>
      <c r="F53" s="31"/>
      <c r="G53" s="31">
        <v>0</v>
      </c>
      <c r="H53" s="31">
        <v>0</v>
      </c>
      <c r="I53" s="31"/>
      <c r="J53" s="31">
        <f t="shared" ref="J53:J61" si="7">E53+F53+G53+H53</f>
        <v>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/>
      <c r="F54" s="31"/>
      <c r="G54" s="31">
        <v>0</v>
      </c>
      <c r="H54" s="31">
        <v>0</v>
      </c>
      <c r="I54" s="31"/>
      <c r="J54" s="31">
        <f t="shared" si="7"/>
        <v>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/>
      <c r="F55" s="31"/>
      <c r="G55" s="31">
        <v>0</v>
      </c>
      <c r="H55" s="31">
        <v>0</v>
      </c>
      <c r="I55" s="31"/>
      <c r="J55" s="31">
        <f t="shared" si="7"/>
        <v>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/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460</v>
      </c>
      <c r="E57" s="31"/>
      <c r="F57" s="31"/>
      <c r="G57" s="31">
        <v>0</v>
      </c>
      <c r="H57" s="31">
        <v>0</v>
      </c>
      <c r="I57" s="31"/>
      <c r="J57" s="31">
        <f t="shared" si="7"/>
        <v>0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/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/>
      <c r="F59" s="31"/>
      <c r="G59" s="31">
        <v>0</v>
      </c>
      <c r="H59" s="31">
        <v>0</v>
      </c>
      <c r="I59" s="31"/>
      <c r="J59" s="31">
        <f t="shared" si="7"/>
        <v>0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/>
      <c r="F60" s="31"/>
      <c r="G60" s="31">
        <v>0</v>
      </c>
      <c r="H60" s="31">
        <v>0</v>
      </c>
      <c r="I60" s="31"/>
      <c r="J60" s="31">
        <f t="shared" si="7"/>
        <v>0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/>
      <c r="F61" s="31">
        <v>0</v>
      </c>
      <c r="G61" s="31">
        <v>0</v>
      </c>
      <c r="H61" s="31">
        <v>0</v>
      </c>
      <c r="I61" s="31"/>
      <c r="J61" s="31">
        <f t="shared" si="7"/>
        <v>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0</v>
      </c>
      <c r="K63" s="103" t="e">
        <f t="shared" ref="K63:K70" si="9">J63/J$175*100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/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/>
      <c r="F65" s="31">
        <v>0</v>
      </c>
      <c r="G65" s="31">
        <v>0</v>
      </c>
      <c r="H65" s="31">
        <v>0</v>
      </c>
      <c r="I65" s="31"/>
      <c r="J65" s="31">
        <f t="shared" si="10"/>
        <v>0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0</v>
      </c>
      <c r="F72" s="31">
        <f>F73</f>
        <v>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0</v>
      </c>
      <c r="K72" s="103" t="e">
        <f>J72/J$175*100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0</v>
      </c>
      <c r="F73" s="31"/>
      <c r="G73" s="31">
        <v>0</v>
      </c>
      <c r="H73" s="31">
        <v>0</v>
      </c>
      <c r="I73" s="31"/>
      <c r="J73" s="31">
        <f>E73+F73+G73+H73</f>
        <v>0</v>
      </c>
      <c r="K73" s="103" t="e">
        <f>J73/J$175*100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0</v>
      </c>
      <c r="F75" s="32">
        <f t="shared" si="11"/>
        <v>0</v>
      </c>
      <c r="G75" s="32">
        <f t="shared" si="11"/>
        <v>0</v>
      </c>
      <c r="H75" s="32">
        <f t="shared" si="11"/>
        <v>0</v>
      </c>
      <c r="I75" s="32">
        <f t="shared" si="11"/>
        <v>0</v>
      </c>
      <c r="J75" s="32">
        <f t="shared" si="11"/>
        <v>0</v>
      </c>
      <c r="K75" s="92" t="e">
        <f>J75/J$175*100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0</v>
      </c>
      <c r="F78" s="31">
        <f>SUM(F79:F82)</f>
        <v>0</v>
      </c>
      <c r="G78" s="31">
        <f>SUM(G79:G82)</f>
        <v>0</v>
      </c>
      <c r="H78" s="31">
        <f>SUM(H79:H82)</f>
        <v>0</v>
      </c>
      <c r="I78" s="31">
        <f>SUM(I79:I82)</f>
        <v>0</v>
      </c>
      <c r="J78" s="31">
        <f>E78+F78+G78+H78</f>
        <v>0</v>
      </c>
      <c r="K78" s="103" t="e">
        <f>J78/J$175*100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/>
      <c r="F79" s="31"/>
      <c r="G79" s="31"/>
      <c r="H79" s="31"/>
      <c r="I79" s="31"/>
      <c r="J79" s="31">
        <f>E79+F79+G79+H79</f>
        <v>0</v>
      </c>
      <c r="K79" s="103" t="e">
        <f>J79/J$175*100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/>
      <c r="F80" s="31"/>
      <c r="G80" s="31"/>
      <c r="H80" s="31"/>
      <c r="I80" s="31"/>
      <c r="J80" s="31">
        <f>E80+F80+G80+H80</f>
        <v>0</v>
      </c>
      <c r="K80" s="103" t="e">
        <f>J80/J$175*100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/>
      <c r="F81" s="31"/>
      <c r="G81" s="31"/>
      <c r="H81" s="31"/>
      <c r="I81" s="31"/>
      <c r="J81" s="31">
        <f>E81+F81+G81+H81</f>
        <v>0</v>
      </c>
      <c r="K81" s="103" t="e">
        <f>J81/J$175*100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/>
      <c r="F82" s="31"/>
      <c r="G82" s="31"/>
      <c r="H82" s="31"/>
      <c r="I82" s="31"/>
      <c r="J82" s="31">
        <f>E82+F82+G82+H82</f>
        <v>0</v>
      </c>
      <c r="K82" s="103" t="e">
        <f>J82/J$175*100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0</v>
      </c>
      <c r="F85" s="31">
        <f>F86+F87</f>
        <v>0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0</v>
      </c>
      <c r="K85" s="103" t="e">
        <f>J85/J$175*100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/>
      <c r="F86" s="31"/>
      <c r="G86" s="31">
        <v>0</v>
      </c>
      <c r="H86" s="31">
        <v>0</v>
      </c>
      <c r="I86" s="31"/>
      <c r="J86" s="31">
        <f>E86+F86+G86+H86</f>
        <v>0</v>
      </c>
      <c r="K86" s="103" t="e">
        <f>J86/J$175*100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/>
      <c r="F87" s="31"/>
      <c r="G87" s="31">
        <v>0</v>
      </c>
      <c r="H87" s="31">
        <v>0</v>
      </c>
      <c r="I87" s="31"/>
      <c r="J87" s="31">
        <f>E87+F87+G87+H87</f>
        <v>0</v>
      </c>
      <c r="K87" s="103" t="e">
        <f>J87/J$175*100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0</v>
      </c>
      <c r="F89" s="31">
        <f>F90</f>
        <v>0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0</v>
      </c>
      <c r="K89" s="103" t="e">
        <f>J89/J$175*100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/>
      <c r="F90" s="31"/>
      <c r="G90" s="31">
        <v>0</v>
      </c>
      <c r="H90" s="31"/>
      <c r="I90" s="31"/>
      <c r="J90" s="31">
        <f>E90+F90+G90+H90</f>
        <v>0</v>
      </c>
      <c r="K90" s="103" t="e">
        <f>J90/J$175*100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0</v>
      </c>
      <c r="F92" s="31">
        <f t="shared" si="12"/>
        <v>0</v>
      </c>
      <c r="G92" s="31">
        <f t="shared" si="12"/>
        <v>0</v>
      </c>
      <c r="H92" s="31">
        <f t="shared" si="12"/>
        <v>0</v>
      </c>
      <c r="I92" s="31">
        <f t="shared" si="12"/>
        <v>0</v>
      </c>
      <c r="J92" s="31">
        <f t="shared" si="12"/>
        <v>0</v>
      </c>
      <c r="K92" s="103" t="e">
        <f>J92/J$175*100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/>
      <c r="F93" s="31"/>
      <c r="G93" s="31"/>
      <c r="H93" s="31"/>
      <c r="I93" s="31"/>
      <c r="J93" s="31">
        <f>E93+F93+G93+H93-I93</f>
        <v>0</v>
      </c>
      <c r="K93" s="103" t="e">
        <f>J93/J$175*100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0</v>
      </c>
      <c r="F96" s="31">
        <f t="shared" si="13"/>
        <v>0</v>
      </c>
      <c r="G96" s="31">
        <f t="shared" si="13"/>
        <v>0</v>
      </c>
      <c r="H96" s="31">
        <f t="shared" si="13"/>
        <v>0</v>
      </c>
      <c r="I96" s="31">
        <f t="shared" si="13"/>
        <v>0</v>
      </c>
      <c r="J96" s="31">
        <f t="shared" si="13"/>
        <v>0</v>
      </c>
      <c r="K96" s="103" t="e">
        <f>J96/J$175*100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/>
      <c r="F97" s="31"/>
      <c r="G97" s="31"/>
      <c r="H97" s="31"/>
      <c r="I97" s="31"/>
      <c r="J97" s="31">
        <f>E97+F97+G97+H97</f>
        <v>0</v>
      </c>
      <c r="K97" s="103" t="e">
        <f>J97/J$175*100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/>
      <c r="F98" s="31"/>
      <c r="G98" s="31"/>
      <c r="H98" s="31"/>
      <c r="I98" s="31"/>
      <c r="J98" s="31">
        <f>E98+F98+G98+H98-I98</f>
        <v>0</v>
      </c>
      <c r="K98" s="103" t="e">
        <f>J98/J$175*100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0</v>
      </c>
      <c r="F100" s="32">
        <f>F103+F109+F113</f>
        <v>0</v>
      </c>
      <c r="G100" s="32">
        <f>G103+G109+G113</f>
        <v>0</v>
      </c>
      <c r="H100" s="32">
        <f>H103+H109+H113</f>
        <v>0</v>
      </c>
      <c r="I100" s="32">
        <f>I103+I109+I113</f>
        <v>0</v>
      </c>
      <c r="J100" s="32">
        <f>E100+F100+G100+H100</f>
        <v>0</v>
      </c>
      <c r="K100" s="92" t="e">
        <f>J100/J$175*100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0</v>
      </c>
      <c r="F103" s="31">
        <f>SUM(F104:F107)</f>
        <v>0</v>
      </c>
      <c r="G103" s="31">
        <f>SUM(G104:G107)</f>
        <v>0</v>
      </c>
      <c r="H103" s="31">
        <f>SUM(H104:H107)</f>
        <v>0</v>
      </c>
      <c r="I103" s="31">
        <f>SUM(I104:I107)</f>
        <v>0</v>
      </c>
      <c r="J103" s="31">
        <f>E103+F103+G103+H103</f>
        <v>0</v>
      </c>
      <c r="K103" s="103" t="e">
        <f>J103/J$175*100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/>
      <c r="F104" s="31"/>
      <c r="G104" s="31"/>
      <c r="H104" s="31"/>
      <c r="I104" s="31"/>
      <c r="J104" s="31">
        <f>E104+F104+G104+H104</f>
        <v>0</v>
      </c>
      <c r="K104" s="103" t="e">
        <f>J104/J$175*100</f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/>
      <c r="F105" s="31"/>
      <c r="G105" s="31"/>
      <c r="H105" s="31"/>
      <c r="I105" s="31"/>
      <c r="J105" s="31">
        <f>E105+F105+G105+H105</f>
        <v>0</v>
      </c>
      <c r="K105" s="103" t="e">
        <f>J105/J$175*100</f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/>
      <c r="F106" s="31"/>
      <c r="G106" s="31"/>
      <c r="H106" s="31"/>
      <c r="I106" s="31"/>
      <c r="J106" s="31">
        <f>E106+F106+G106+H106</f>
        <v>0</v>
      </c>
      <c r="K106" s="103" t="e">
        <f>J106/J$175*100</f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1"/>
      <c r="F107" s="31"/>
      <c r="G107" s="31"/>
      <c r="H107" s="31"/>
      <c r="I107" s="31"/>
      <c r="J107" s="31">
        <f>E107+F107+G107+H107</f>
        <v>0</v>
      </c>
      <c r="K107" s="103" t="e">
        <f>J107/J$175*100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J109/J$175*100</f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0</v>
      </c>
      <c r="F113" s="31">
        <f>F114+F115+F116</f>
        <v>0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0</v>
      </c>
      <c r="K113" s="103" t="e">
        <f>J113/J$175*100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/>
      <c r="F115" s="31"/>
      <c r="G115" s="31">
        <v>0</v>
      </c>
      <c r="H115" s="31">
        <v>0</v>
      </c>
      <c r="I115" s="31"/>
      <c r="J115" s="31">
        <f>E115+F115+G115+H115</f>
        <v>0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0</v>
      </c>
      <c r="F118" s="32">
        <f>F121+F125</f>
        <v>0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0</v>
      </c>
      <c r="K118" s="92" t="e">
        <f>J118/J$175*100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f t="shared" ref="E121:J121" si="14">E122+E123</f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103" t="e">
        <f>J121/J$175*100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J122/J$175*100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J123/J$175*100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0</v>
      </c>
      <c r="F125" s="31">
        <f>F126+F127</f>
        <v>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0</v>
      </c>
      <c r="K125" s="103" t="e">
        <f>J125/J$175*100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J126/J$175*100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J127/J$175*100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0</v>
      </c>
      <c r="F129" s="73">
        <f>F131</f>
        <v>0</v>
      </c>
      <c r="G129" s="73">
        <f>G131</f>
        <v>0</v>
      </c>
      <c r="H129" s="73">
        <f>H131</f>
        <v>0</v>
      </c>
      <c r="I129" s="73">
        <f>I131</f>
        <v>0</v>
      </c>
      <c r="J129" s="73">
        <f>+J131</f>
        <v>0</v>
      </c>
      <c r="K129" s="92" t="e">
        <f>J129/J$175*100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E133+E134+E135+E136</f>
        <v>0</v>
      </c>
      <c r="F131" s="109">
        <f>F133+F134+F135+F136</f>
        <v>0</v>
      </c>
      <c r="G131" s="109">
        <f>G133+G134+G135+G136</f>
        <v>0</v>
      </c>
      <c r="H131" s="109">
        <f>H133+H134+H135+H136</f>
        <v>0</v>
      </c>
      <c r="I131" s="109">
        <f>I133+I134+I135+I136</f>
        <v>0</v>
      </c>
      <c r="J131" s="109">
        <f>SUM(J133:J136)</f>
        <v>0</v>
      </c>
      <c r="K131" s="103" t="e">
        <f>J131/J$175*100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/>
      <c r="F133" s="117"/>
      <c r="G133" s="117"/>
      <c r="H133" s="117"/>
      <c r="I133" s="428">
        <f>E133+F133+G133+H133</f>
        <v>0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577</v>
      </c>
      <c r="D134" s="102" t="s">
        <v>578</v>
      </c>
      <c r="E134" s="109"/>
      <c r="F134" s="117"/>
      <c r="G134" s="109"/>
      <c r="H134" s="117"/>
      <c r="I134" s="428">
        <f>E134+F134+G134+H134</f>
        <v>0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579</v>
      </c>
      <c r="D135" s="102" t="s">
        <v>580</v>
      </c>
      <c r="E135" s="117"/>
      <c r="F135" s="117"/>
      <c r="G135" s="117"/>
      <c r="H135" s="117"/>
      <c r="I135" s="428">
        <f>E135+F135+G135+H135</f>
        <v>0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581</v>
      </c>
      <c r="D136" s="102" t="s">
        <v>582</v>
      </c>
      <c r="E136" s="109"/>
      <c r="F136" s="109"/>
      <c r="G136" s="109"/>
      <c r="H136" s="109"/>
      <c r="I136" s="109">
        <v>0</v>
      </c>
      <c r="J136" s="109">
        <f>E136+F136+G136+H136-I136</f>
        <v>0</v>
      </c>
      <c r="K136" s="103" t="e">
        <f>J136/J$175*100</f>
        <v>#REF!</v>
      </c>
    </row>
    <row r="137" spans="1:11" s="423" customFormat="1" x14ac:dyDescent="0.2">
      <c r="A137" s="204"/>
      <c r="B137" s="205"/>
      <c r="C137" s="206"/>
      <c r="D137" s="432"/>
      <c r="E137" s="383"/>
      <c r="F137" s="383"/>
      <c r="G137" s="383"/>
      <c r="H137" s="383"/>
      <c r="I137" s="383"/>
      <c r="J137" s="383"/>
      <c r="K137" s="433"/>
    </row>
    <row r="138" spans="1:11" ht="15.75" x14ac:dyDescent="0.25">
      <c r="A138" s="88">
        <v>78</v>
      </c>
      <c r="B138" s="89"/>
      <c r="C138" s="90" t="s">
        <v>884</v>
      </c>
      <c r="D138" s="91"/>
      <c r="E138" s="32">
        <f>+E140+E145+E150+E156+E159+E163+E167+E170</f>
        <v>0</v>
      </c>
      <c r="F138" s="32"/>
      <c r="G138" s="32"/>
      <c r="H138" s="32"/>
      <c r="I138" s="32"/>
      <c r="J138" s="32">
        <f>+J140+J145+J150+J156+J159+J163+J167+J170</f>
        <v>0</v>
      </c>
      <c r="K138" s="103" t="e">
        <f>J138/J$175*100</f>
        <v>#REF!</v>
      </c>
    </row>
    <row r="139" spans="1:11" s="423" customFormat="1" x14ac:dyDescent="0.2">
      <c r="A139" s="204"/>
      <c r="B139" s="205"/>
      <c r="C139" s="206"/>
      <c r="D139" s="432"/>
      <c r="E139" s="383"/>
      <c r="F139" s="383"/>
      <c r="G139" s="383"/>
      <c r="H139" s="383"/>
      <c r="I139" s="383"/>
      <c r="J139" s="383"/>
      <c r="K139" s="433"/>
    </row>
    <row r="140" spans="1:11" s="423" customFormat="1" x14ac:dyDescent="0.2">
      <c r="A140" s="204">
        <v>780</v>
      </c>
      <c r="B140" s="205"/>
      <c r="C140" s="206" t="s">
        <v>885</v>
      </c>
      <c r="D140" s="432"/>
      <c r="E140" s="383"/>
      <c r="F140" s="383"/>
      <c r="G140" s="383"/>
      <c r="H140" s="383"/>
      <c r="I140" s="383"/>
      <c r="J140" s="383">
        <f>+E140+F140+G140+H140-I140</f>
        <v>0</v>
      </c>
      <c r="K140" s="103" t="e">
        <f>J140/J$175*100</f>
        <v>#REF!</v>
      </c>
    </row>
    <row r="141" spans="1:11" s="423" customFormat="1" x14ac:dyDescent="0.2">
      <c r="A141" s="204">
        <v>7800</v>
      </c>
      <c r="B141" s="205"/>
      <c r="C141" s="206" t="s">
        <v>886</v>
      </c>
      <c r="D141" s="432"/>
      <c r="E141" s="383"/>
      <c r="F141" s="383"/>
      <c r="G141" s="383"/>
      <c r="H141" s="383"/>
      <c r="I141" s="383"/>
      <c r="J141" s="383"/>
      <c r="K141" s="433"/>
    </row>
    <row r="142" spans="1:11" s="423" customFormat="1" x14ac:dyDescent="0.2">
      <c r="A142" s="204">
        <v>7801</v>
      </c>
      <c r="B142" s="205"/>
      <c r="C142" s="206" t="s">
        <v>887</v>
      </c>
      <c r="D142" s="432"/>
      <c r="E142" s="383"/>
      <c r="F142" s="383"/>
      <c r="G142" s="383"/>
      <c r="H142" s="383"/>
      <c r="I142" s="383"/>
      <c r="J142" s="383"/>
      <c r="K142" s="433"/>
    </row>
    <row r="143" spans="1:11" s="423" customFormat="1" x14ac:dyDescent="0.2">
      <c r="A143" s="204">
        <v>7802</v>
      </c>
      <c r="B143" s="205"/>
      <c r="C143" s="206" t="s">
        <v>888</v>
      </c>
      <c r="D143" s="432"/>
      <c r="E143" s="383"/>
      <c r="F143" s="383"/>
      <c r="G143" s="383"/>
      <c r="H143" s="383"/>
      <c r="I143" s="383"/>
      <c r="J143" s="383"/>
      <c r="K143" s="433"/>
    </row>
    <row r="144" spans="1:11" s="423" customFormat="1" x14ac:dyDescent="0.2">
      <c r="A144" s="204"/>
      <c r="B144" s="205"/>
      <c r="C144" s="206"/>
      <c r="D144" s="432"/>
      <c r="E144" s="383"/>
      <c r="F144" s="383"/>
      <c r="G144" s="383"/>
      <c r="H144" s="383"/>
      <c r="I144" s="383"/>
      <c r="J144" s="383"/>
      <c r="K144" s="433"/>
    </row>
    <row r="145" spans="1:11" s="423" customFormat="1" x14ac:dyDescent="0.2">
      <c r="A145" s="204">
        <v>781</v>
      </c>
      <c r="B145" s="205"/>
      <c r="C145" s="206" t="s">
        <v>894</v>
      </c>
      <c r="D145" s="432"/>
      <c r="E145" s="383"/>
      <c r="F145" s="383"/>
      <c r="G145" s="383"/>
      <c r="H145" s="383"/>
      <c r="I145" s="383"/>
      <c r="J145" s="383">
        <f>+E145+F145+G145+H145-I145</f>
        <v>0</v>
      </c>
      <c r="K145" s="103" t="e">
        <f>J145/J$175*100</f>
        <v>#REF!</v>
      </c>
    </row>
    <row r="146" spans="1:11" s="423" customFormat="1" x14ac:dyDescent="0.2">
      <c r="A146" s="204">
        <v>7810</v>
      </c>
      <c r="B146" s="205"/>
      <c r="C146" s="206" t="s">
        <v>889</v>
      </c>
      <c r="D146" s="432"/>
      <c r="E146" s="383"/>
      <c r="F146" s="383"/>
      <c r="G146" s="383"/>
      <c r="H146" s="383"/>
      <c r="I146" s="383"/>
      <c r="J146" s="383"/>
      <c r="K146" s="433"/>
    </row>
    <row r="147" spans="1:11" s="423" customFormat="1" x14ac:dyDescent="0.2">
      <c r="A147" s="204">
        <v>7811</v>
      </c>
      <c r="B147" s="205"/>
      <c r="C147" s="206" t="s">
        <v>890</v>
      </c>
      <c r="D147" s="432"/>
      <c r="E147" s="383"/>
      <c r="F147" s="383"/>
      <c r="G147" s="383"/>
      <c r="H147" s="383"/>
      <c r="I147" s="383"/>
      <c r="J147" s="383"/>
      <c r="K147" s="433"/>
    </row>
    <row r="148" spans="1:11" s="423" customFormat="1" x14ac:dyDescent="0.2">
      <c r="A148" s="204">
        <v>7812</v>
      </c>
      <c r="B148" s="205"/>
      <c r="C148" s="206" t="s">
        <v>893</v>
      </c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/>
      <c r="B149" s="205"/>
      <c r="C149" s="206"/>
      <c r="D149" s="432"/>
      <c r="E149" s="383"/>
      <c r="F149" s="383"/>
      <c r="G149" s="383"/>
      <c r="H149" s="383"/>
      <c r="I149" s="383"/>
      <c r="J149" s="383"/>
      <c r="K149" s="433"/>
    </row>
    <row r="150" spans="1:11" s="423" customFormat="1" x14ac:dyDescent="0.2">
      <c r="A150" s="204">
        <v>782</v>
      </c>
      <c r="B150" s="205"/>
      <c r="C150" s="206" t="s">
        <v>900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103" t="e">
        <f>J150/J$175*100</f>
        <v>#REF!</v>
      </c>
    </row>
    <row r="151" spans="1:11" s="423" customFormat="1" x14ac:dyDescent="0.2">
      <c r="A151" s="204">
        <v>7820</v>
      </c>
      <c r="B151" s="205"/>
      <c r="C151" s="206" t="s">
        <v>896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7821</v>
      </c>
      <c r="B152" s="205"/>
      <c r="C152" s="206" t="s">
        <v>897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>
        <v>7822</v>
      </c>
      <c r="B153" s="205"/>
      <c r="C153" s="206" t="s">
        <v>898</v>
      </c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7823</v>
      </c>
      <c r="B154" s="205"/>
      <c r="C154" s="206" t="s">
        <v>899</v>
      </c>
      <c r="D154" s="432"/>
      <c r="E154" s="383"/>
      <c r="F154" s="383"/>
      <c r="G154" s="383"/>
      <c r="H154" s="383"/>
      <c r="I154" s="383"/>
      <c r="J154" s="383"/>
      <c r="K154" s="433"/>
    </row>
    <row r="155" spans="1:11" s="423" customFormat="1" x14ac:dyDescent="0.2">
      <c r="A155" s="204"/>
      <c r="B155" s="205"/>
      <c r="C155" s="206"/>
      <c r="D155" s="432"/>
      <c r="E155" s="383"/>
      <c r="F155" s="383"/>
      <c r="G155" s="383"/>
      <c r="H155" s="383"/>
      <c r="I155" s="383"/>
      <c r="J155" s="383"/>
      <c r="K155" s="433"/>
    </row>
    <row r="156" spans="1:11" s="423" customFormat="1" x14ac:dyDescent="0.2">
      <c r="A156" s="204">
        <v>783</v>
      </c>
      <c r="B156" s="205"/>
      <c r="C156" s="206" t="s">
        <v>902</v>
      </c>
      <c r="D156" s="432"/>
      <c r="E156" s="383"/>
      <c r="F156" s="383"/>
      <c r="G156" s="383"/>
      <c r="H156" s="383"/>
      <c r="I156" s="383"/>
      <c r="J156" s="383">
        <f>+E156+F156+G156+H156-I156</f>
        <v>0</v>
      </c>
      <c r="K156" s="103" t="e">
        <f>J156/J$175*100</f>
        <v>#REF!</v>
      </c>
    </row>
    <row r="157" spans="1:11" s="423" customFormat="1" x14ac:dyDescent="0.2">
      <c r="A157" s="204">
        <v>7830</v>
      </c>
      <c r="B157" s="205"/>
      <c r="C157" s="206" t="s">
        <v>901</v>
      </c>
      <c r="D157" s="432"/>
      <c r="E157" s="383"/>
      <c r="F157" s="383"/>
      <c r="G157" s="383"/>
      <c r="H157" s="383"/>
      <c r="I157" s="383"/>
      <c r="J157" s="383"/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784</v>
      </c>
      <c r="B159" s="205"/>
      <c r="C159" s="206" t="s">
        <v>905</v>
      </c>
      <c r="D159" s="432"/>
      <c r="E159" s="383"/>
      <c r="F159" s="383"/>
      <c r="G159" s="383"/>
      <c r="H159" s="383"/>
      <c r="I159" s="383"/>
      <c r="J159" s="383">
        <f>+E159+F159+G159+H159-I159</f>
        <v>0</v>
      </c>
      <c r="K159" s="103" t="e">
        <f>J159/J$175*100</f>
        <v>#REF!</v>
      </c>
    </row>
    <row r="160" spans="1:11" s="423" customFormat="1" x14ac:dyDescent="0.2">
      <c r="A160" s="204">
        <v>7840</v>
      </c>
      <c r="B160" s="205"/>
      <c r="C160" s="206" t="s">
        <v>903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7841</v>
      </c>
      <c r="B161" s="205"/>
      <c r="C161" s="206" t="s">
        <v>904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/>
      <c r="B162" s="205"/>
      <c r="C162" s="206"/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785</v>
      </c>
      <c r="B163" s="205"/>
      <c r="C163" s="206" t="s">
        <v>908</v>
      </c>
      <c r="D163" s="432"/>
      <c r="E163" s="383"/>
      <c r="F163" s="383"/>
      <c r="G163" s="383"/>
      <c r="H163" s="383"/>
      <c r="I163" s="383"/>
      <c r="J163" s="383">
        <f>+E163+F163+G163+H163-I163</f>
        <v>0</v>
      </c>
      <c r="K163" s="103" t="e">
        <f>J163/J$175*100</f>
        <v>#REF!</v>
      </c>
    </row>
    <row r="164" spans="1:11" s="423" customFormat="1" x14ac:dyDescent="0.2">
      <c r="A164" s="204">
        <v>7850</v>
      </c>
      <c r="B164" s="205"/>
      <c r="C164" s="206" t="s">
        <v>906</v>
      </c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7851</v>
      </c>
      <c r="B165" s="205"/>
      <c r="C165" s="206" t="s">
        <v>907</v>
      </c>
      <c r="D165" s="432"/>
      <c r="E165" s="383"/>
      <c r="F165" s="383"/>
      <c r="G165" s="383"/>
      <c r="H165" s="383"/>
      <c r="I165" s="383"/>
      <c r="J165" s="383"/>
      <c r="K165" s="433"/>
    </row>
    <row r="166" spans="1:11" s="423" customFormat="1" x14ac:dyDescent="0.2">
      <c r="A166" s="204"/>
      <c r="B166" s="205"/>
      <c r="C166" s="206"/>
      <c r="D166" s="432"/>
      <c r="E166" s="383"/>
      <c r="F166" s="383"/>
      <c r="G166" s="383"/>
      <c r="H166" s="383"/>
      <c r="I166" s="383"/>
      <c r="J166" s="383"/>
      <c r="K166" s="433"/>
    </row>
    <row r="167" spans="1:11" s="423" customFormat="1" x14ac:dyDescent="0.2">
      <c r="A167" s="204">
        <v>786</v>
      </c>
      <c r="B167" s="205"/>
      <c r="C167" s="206" t="s">
        <v>910</v>
      </c>
      <c r="D167" s="432"/>
      <c r="E167" s="383"/>
      <c r="F167" s="383"/>
      <c r="G167" s="383"/>
      <c r="H167" s="383"/>
      <c r="I167" s="383"/>
      <c r="J167" s="383">
        <f>+E167+F167+G167+H167-I167</f>
        <v>0</v>
      </c>
      <c r="K167" s="103" t="e">
        <f>J167/J$175*100</f>
        <v>#REF!</v>
      </c>
    </row>
    <row r="168" spans="1:11" s="423" customFormat="1" x14ac:dyDescent="0.2">
      <c r="A168" s="204">
        <v>7860</v>
      </c>
      <c r="B168" s="205"/>
      <c r="C168" s="206" t="s">
        <v>909</v>
      </c>
      <c r="D168" s="432"/>
      <c r="E168" s="383"/>
      <c r="F168" s="383"/>
      <c r="G168" s="383"/>
      <c r="H168" s="383"/>
      <c r="I168" s="383"/>
      <c r="J168" s="383"/>
      <c r="K168" s="433"/>
    </row>
    <row r="169" spans="1:11" s="423" customFormat="1" x14ac:dyDescent="0.2">
      <c r="A169" s="204"/>
      <c r="B169" s="205"/>
      <c r="C169" s="206"/>
      <c r="D169" s="432"/>
      <c r="E169" s="383"/>
      <c r="F169" s="383"/>
      <c r="G169" s="383"/>
      <c r="H169" s="383"/>
      <c r="I169" s="383"/>
      <c r="J169" s="383"/>
      <c r="K169" s="433"/>
    </row>
    <row r="170" spans="1:11" s="423" customFormat="1" x14ac:dyDescent="0.2">
      <c r="A170" s="204">
        <v>787</v>
      </c>
      <c r="B170" s="205"/>
      <c r="C170" s="206" t="s">
        <v>912</v>
      </c>
      <c r="D170" s="432"/>
      <c r="E170" s="383"/>
      <c r="F170" s="383"/>
      <c r="G170" s="383"/>
      <c r="H170" s="383"/>
      <c r="I170" s="383"/>
      <c r="J170" s="383">
        <f>+E170+F170+G170+H170-I170</f>
        <v>0</v>
      </c>
      <c r="K170" s="103" t="e">
        <f>J170/J$175*100</f>
        <v>#REF!</v>
      </c>
    </row>
    <row r="171" spans="1:11" s="423" customFormat="1" x14ac:dyDescent="0.2">
      <c r="A171" s="204">
        <v>7870</v>
      </c>
      <c r="B171" s="205"/>
      <c r="C171" s="206" t="s">
        <v>911</v>
      </c>
      <c r="D171" s="432"/>
      <c r="E171" s="383"/>
      <c r="F171" s="383"/>
      <c r="G171" s="383"/>
      <c r="H171" s="383"/>
      <c r="I171" s="383"/>
      <c r="J171" s="383"/>
      <c r="K171" s="433"/>
    </row>
    <row r="172" spans="1:11" ht="15.75" thickBot="1" x14ac:dyDescent="0.25">
      <c r="A172" s="120"/>
      <c r="B172" s="121"/>
      <c r="C172" s="122"/>
      <c r="D172" s="123"/>
      <c r="E172" s="124"/>
      <c r="F172" s="124"/>
      <c r="G172" s="124"/>
      <c r="H172" s="124"/>
      <c r="I172" s="124"/>
      <c r="J172" s="124"/>
      <c r="K172" s="125"/>
    </row>
    <row r="173" spans="1:11" ht="15.75" thickTop="1" x14ac:dyDescent="0.2">
      <c r="A173" s="126"/>
      <c r="B173" s="126"/>
      <c r="C173" s="127"/>
      <c r="D173" s="127"/>
      <c r="E173" s="128"/>
      <c r="F173" s="128"/>
      <c r="G173" s="128"/>
      <c r="H173" s="128"/>
      <c r="I173" s="128"/>
      <c r="J173" s="128"/>
      <c r="K173" s="128"/>
    </row>
    <row r="174" spans="1:11" ht="16.5" thickBot="1" x14ac:dyDescent="0.3">
      <c r="A174" s="53"/>
      <c r="B174" s="53"/>
      <c r="C174" s="54"/>
      <c r="D174" s="54"/>
      <c r="E174" s="129"/>
      <c r="F174" s="129"/>
      <c r="G174" s="129"/>
      <c r="H174" s="129"/>
      <c r="I174" s="129"/>
      <c r="J174" s="130"/>
      <c r="K174" s="130"/>
    </row>
    <row r="175" spans="1:11" ht="19.5" thickTop="1" thickBot="1" x14ac:dyDescent="0.3">
      <c r="A175" s="53" t="s">
        <v>866</v>
      </c>
      <c r="B175" s="53"/>
      <c r="C175" s="131" t="s">
        <v>583</v>
      </c>
      <c r="D175" s="131"/>
      <c r="E175" s="132"/>
      <c r="F175" s="132"/>
      <c r="G175" s="132"/>
      <c r="H175" s="132"/>
      <c r="I175" s="132"/>
      <c r="J175" s="133" t="e">
        <f>+#REF!</f>
        <v>#REF!</v>
      </c>
      <c r="K175" s="134"/>
    </row>
    <row r="176" spans="1:11" ht="17.25" thickTop="1" thickBot="1" x14ac:dyDescent="0.3">
      <c r="A176" s="53"/>
      <c r="B176" s="53"/>
      <c r="C176" s="54"/>
      <c r="D176" s="54"/>
      <c r="E176" s="10"/>
      <c r="F176" s="10"/>
      <c r="G176" s="10"/>
      <c r="H176" s="10"/>
      <c r="I176" s="134"/>
      <c r="J176" s="10"/>
      <c r="K176" s="10"/>
    </row>
    <row r="177" spans="1:11" ht="16.5" thickTop="1" thickBot="1" x14ac:dyDescent="0.25">
      <c r="A177" s="135"/>
      <c r="B177" s="136"/>
      <c r="C177" s="137"/>
      <c r="D177" s="138"/>
      <c r="E177" s="139"/>
      <c r="F177" s="139"/>
      <c r="G177" s="139"/>
      <c r="H177" s="139"/>
      <c r="I177" s="139"/>
      <c r="J177" s="140"/>
      <c r="K177" s="141"/>
    </row>
    <row r="178" spans="1:11" ht="17.25" thickTop="1" thickBot="1" x14ac:dyDescent="0.3">
      <c r="A178" s="69"/>
      <c r="B178" s="70" t="s">
        <v>83</v>
      </c>
      <c r="C178" s="77" t="s">
        <v>585</v>
      </c>
      <c r="D178" s="142"/>
      <c r="E178" s="73">
        <f>E181+E243+E285+E299+E313</f>
        <v>0</v>
      </c>
      <c r="F178" s="73">
        <f>F181+F243+F285+F299+F313</f>
        <v>0</v>
      </c>
      <c r="G178" s="73">
        <f>G181+G243+G285+G299+G313</f>
        <v>0</v>
      </c>
      <c r="H178" s="73">
        <f>H181+H243+H285+H299+H313</f>
        <v>0</v>
      </c>
      <c r="I178" s="73">
        <f>I181+I243+I285+I299+I313</f>
        <v>0</v>
      </c>
      <c r="J178" s="75">
        <f>E178+F178+G178+H178-I178</f>
        <v>0</v>
      </c>
      <c r="K178" s="76" t="e">
        <f>J178/J$175*100</f>
        <v>#REF!</v>
      </c>
    </row>
    <row r="179" spans="1:11" ht="16.5" thickTop="1" x14ac:dyDescent="0.25">
      <c r="A179" s="69"/>
      <c r="B179" s="70"/>
      <c r="C179" s="77" t="s">
        <v>587</v>
      </c>
      <c r="D179" s="142"/>
      <c r="E179" s="143"/>
      <c r="F179" s="73"/>
      <c r="G179" s="73"/>
      <c r="H179" s="73"/>
      <c r="I179" s="73"/>
      <c r="J179" s="80"/>
      <c r="K179" s="144"/>
    </row>
    <row r="180" spans="1:11" x14ac:dyDescent="0.2">
      <c r="A180" s="82"/>
      <c r="B180" s="94"/>
      <c r="C180" s="95"/>
      <c r="D180" s="145"/>
      <c r="E180" s="34"/>
      <c r="F180" s="34"/>
      <c r="G180" s="34"/>
      <c r="H180" s="34"/>
      <c r="I180" s="34"/>
      <c r="J180" s="34"/>
      <c r="K180" s="105"/>
    </row>
    <row r="181" spans="1:11" ht="15.75" x14ac:dyDescent="0.25">
      <c r="A181" s="88">
        <v>40</v>
      </c>
      <c r="B181" s="89"/>
      <c r="C181" s="90" t="s">
        <v>588</v>
      </c>
      <c r="D181" s="146"/>
      <c r="E181" s="32">
        <f>E184+E197+E207+E223+E230+E237</f>
        <v>0</v>
      </c>
      <c r="F181" s="32">
        <f>F184+F197+F207+F223+F230+F237</f>
        <v>0</v>
      </c>
      <c r="G181" s="32">
        <f>G184+G197+G207+G223+G230+G237</f>
        <v>0</v>
      </c>
      <c r="H181" s="32">
        <f>H184+H197+H207+H223+H230+H237</f>
        <v>0</v>
      </c>
      <c r="I181" s="32">
        <f>+I197+I207</f>
        <v>0</v>
      </c>
      <c r="J181" s="32">
        <f>E181+F181+G181+H181-I181</f>
        <v>0</v>
      </c>
      <c r="K181" s="92" t="e">
        <f>J181/J$175*100</f>
        <v>#REF!</v>
      </c>
    </row>
    <row r="182" spans="1:11" x14ac:dyDescent="0.2">
      <c r="A182" s="147"/>
      <c r="B182" s="148"/>
      <c r="C182" s="96" t="s">
        <v>816</v>
      </c>
      <c r="D182" s="145"/>
      <c r="E182" s="34"/>
      <c r="F182" s="34"/>
      <c r="G182" s="34"/>
      <c r="H182" s="34"/>
      <c r="I182" s="34"/>
      <c r="J182" s="34"/>
      <c r="K182" s="105"/>
    </row>
    <row r="183" spans="1:11" x14ac:dyDescent="0.2">
      <c r="A183" s="82"/>
      <c r="B183" s="94"/>
      <c r="C183" s="95"/>
      <c r="D183" s="145"/>
      <c r="E183" s="34"/>
      <c r="F183" s="34"/>
      <c r="G183" s="34"/>
      <c r="H183" s="34"/>
      <c r="I183" s="34"/>
      <c r="J183" s="34"/>
      <c r="K183" s="105"/>
    </row>
    <row r="184" spans="1:11" x14ac:dyDescent="0.2">
      <c r="A184" s="99"/>
      <c r="B184" s="100"/>
      <c r="C184" s="101" t="s">
        <v>817</v>
      </c>
      <c r="D184" s="149"/>
      <c r="E184" s="31">
        <f>+E186+E195</f>
        <v>0</v>
      </c>
      <c r="F184" s="31">
        <f>+F186+F195</f>
        <v>0</v>
      </c>
      <c r="G184" s="31">
        <f>+G186+G195</f>
        <v>0</v>
      </c>
      <c r="H184" s="31">
        <f>+H186+H195</f>
        <v>0</v>
      </c>
      <c r="I184" s="31">
        <f>+I186+I195</f>
        <v>0</v>
      </c>
      <c r="J184" s="31">
        <f>E184+F184+G184+H184-I184</f>
        <v>0</v>
      </c>
      <c r="K184" s="103" t="e">
        <f>J184/J$175*100</f>
        <v>#REF!</v>
      </c>
    </row>
    <row r="185" spans="1:11" x14ac:dyDescent="0.2">
      <c r="A185" s="82"/>
      <c r="B185" s="94"/>
      <c r="C185" s="96"/>
      <c r="D185" s="145"/>
      <c r="E185" s="86"/>
      <c r="F185" s="86"/>
      <c r="G185" s="86"/>
      <c r="H185" s="86"/>
      <c r="I185" s="86"/>
      <c r="J185" s="86"/>
      <c r="K185" s="110"/>
    </row>
    <row r="186" spans="1:11" x14ac:dyDescent="0.2">
      <c r="A186" s="99">
        <v>400</v>
      </c>
      <c r="B186" s="100"/>
      <c r="C186" s="101" t="s">
        <v>818</v>
      </c>
      <c r="D186" s="149"/>
      <c r="E186" s="31">
        <f>SUM(E187:E193)</f>
        <v>0</v>
      </c>
      <c r="F186" s="31"/>
      <c r="G186" s="31"/>
      <c r="H186" s="31"/>
      <c r="I186" s="31">
        <v>0</v>
      </c>
      <c r="J186" s="31">
        <f>E186+F186+G186+H186-I186</f>
        <v>0</v>
      </c>
      <c r="K186" s="103" t="e">
        <f>J186/J$175*100</f>
        <v>#REF!</v>
      </c>
    </row>
    <row r="187" spans="1:11" x14ac:dyDescent="0.2">
      <c r="A187" s="99">
        <v>4000</v>
      </c>
      <c r="B187" s="100"/>
      <c r="C187" s="101" t="s">
        <v>593</v>
      </c>
      <c r="D187" s="149"/>
      <c r="E187" s="31"/>
      <c r="F187" s="202" t="s">
        <v>845</v>
      </c>
      <c r="G187" s="202" t="s">
        <v>845</v>
      </c>
      <c r="H187" s="202" t="s">
        <v>845</v>
      </c>
      <c r="I187" s="202" t="s">
        <v>845</v>
      </c>
      <c r="J187" s="202" t="s">
        <v>845</v>
      </c>
      <c r="K187" s="103"/>
    </row>
    <row r="188" spans="1:11" x14ac:dyDescent="0.2">
      <c r="A188" s="99">
        <v>4001</v>
      </c>
      <c r="B188" s="100"/>
      <c r="C188" s="101" t="s">
        <v>595</v>
      </c>
      <c r="D188" s="149"/>
      <c r="E188" s="31"/>
      <c r="F188" s="202" t="s">
        <v>845</v>
      </c>
      <c r="G188" s="202" t="s">
        <v>845</v>
      </c>
      <c r="H188" s="202" t="s">
        <v>845</v>
      </c>
      <c r="I188" s="202" t="s">
        <v>845</v>
      </c>
      <c r="J188" s="202" t="s">
        <v>845</v>
      </c>
      <c r="K188" s="103"/>
    </row>
    <row r="189" spans="1:11" x14ac:dyDescent="0.2">
      <c r="A189" s="99">
        <v>4002</v>
      </c>
      <c r="B189" s="100"/>
      <c r="C189" s="101" t="s">
        <v>597</v>
      </c>
      <c r="D189" s="149"/>
      <c r="E189" s="31"/>
      <c r="F189" s="202" t="s">
        <v>845</v>
      </c>
      <c r="G189" s="202" t="s">
        <v>845</v>
      </c>
      <c r="H189" s="202" t="s">
        <v>845</v>
      </c>
      <c r="I189" s="202" t="s">
        <v>845</v>
      </c>
      <c r="J189" s="202" t="s">
        <v>845</v>
      </c>
      <c r="K189" s="103"/>
    </row>
    <row r="190" spans="1:11" x14ac:dyDescent="0.2">
      <c r="A190" s="99">
        <v>4003</v>
      </c>
      <c r="B190" s="100"/>
      <c r="C190" s="101" t="s">
        <v>599</v>
      </c>
      <c r="D190" s="149"/>
      <c r="E190" s="31"/>
      <c r="F190" s="202" t="s">
        <v>845</v>
      </c>
      <c r="G190" s="202" t="s">
        <v>845</v>
      </c>
      <c r="H190" s="202" t="s">
        <v>845</v>
      </c>
      <c r="I190" s="202" t="s">
        <v>845</v>
      </c>
      <c r="J190" s="202" t="s">
        <v>845</v>
      </c>
      <c r="K190" s="103"/>
    </row>
    <row r="191" spans="1:11" x14ac:dyDescent="0.2">
      <c r="A191" s="99">
        <v>4004</v>
      </c>
      <c r="B191" s="100"/>
      <c r="C191" s="101" t="s">
        <v>601</v>
      </c>
      <c r="D191" s="149"/>
      <c r="E191" s="31"/>
      <c r="F191" s="202" t="s">
        <v>845</v>
      </c>
      <c r="G191" s="202" t="s">
        <v>845</v>
      </c>
      <c r="H191" s="202" t="s">
        <v>845</v>
      </c>
      <c r="I191" s="202" t="s">
        <v>845</v>
      </c>
      <c r="J191" s="202" t="s">
        <v>845</v>
      </c>
      <c r="K191" s="103"/>
    </row>
    <row r="192" spans="1:11" x14ac:dyDescent="0.2">
      <c r="A192" s="99">
        <v>4005</v>
      </c>
      <c r="B192" s="100"/>
      <c r="C192" s="101" t="s">
        <v>603</v>
      </c>
      <c r="D192" s="149"/>
      <c r="E192" s="31"/>
      <c r="F192" s="202" t="s">
        <v>845</v>
      </c>
      <c r="G192" s="202" t="s">
        <v>845</v>
      </c>
      <c r="H192" s="202" t="s">
        <v>845</v>
      </c>
      <c r="I192" s="202" t="s">
        <v>845</v>
      </c>
      <c r="J192" s="202" t="s">
        <v>845</v>
      </c>
      <c r="K192" s="103"/>
    </row>
    <row r="193" spans="1:11" x14ac:dyDescent="0.2">
      <c r="A193" s="99">
        <v>4009</v>
      </c>
      <c r="B193" s="100"/>
      <c r="C193" s="101" t="s">
        <v>605</v>
      </c>
      <c r="D193" s="149"/>
      <c r="E193" s="31"/>
      <c r="F193" s="202" t="s">
        <v>845</v>
      </c>
      <c r="G193" s="202" t="s">
        <v>845</v>
      </c>
      <c r="H193" s="202" t="s">
        <v>845</v>
      </c>
      <c r="I193" s="202" t="s">
        <v>845</v>
      </c>
      <c r="J193" s="202" t="s">
        <v>845</v>
      </c>
      <c r="K193" s="103"/>
    </row>
    <row r="194" spans="1:11" x14ac:dyDescent="0.2">
      <c r="A194" s="82"/>
      <c r="B194" s="94"/>
      <c r="C194" s="95"/>
      <c r="D194" s="145"/>
      <c r="E194" s="34"/>
      <c r="F194" s="34"/>
      <c r="G194" s="34"/>
      <c r="H194" s="86"/>
      <c r="I194" s="34"/>
      <c r="J194" s="34"/>
      <c r="K194" s="110"/>
    </row>
    <row r="195" spans="1:11" x14ac:dyDescent="0.2">
      <c r="A195" s="99">
        <v>413300</v>
      </c>
      <c r="B195" s="100"/>
      <c r="C195" s="101" t="s">
        <v>819</v>
      </c>
      <c r="D195" s="149"/>
      <c r="E195" s="31"/>
      <c r="F195" s="31"/>
      <c r="G195" s="31"/>
      <c r="H195" s="31"/>
      <c r="I195" s="31">
        <v>0</v>
      </c>
      <c r="J195" s="31">
        <f>E195+F195+G195+H195-I195</f>
        <v>0</v>
      </c>
      <c r="K195" s="103" t="e">
        <f>J195/J$175*100</f>
        <v>#REF!</v>
      </c>
    </row>
    <row r="196" spans="1:11" x14ac:dyDescent="0.2">
      <c r="A196" s="82"/>
      <c r="B196" s="94"/>
      <c r="C196" s="95"/>
      <c r="D196" s="145"/>
      <c r="E196" s="34"/>
      <c r="F196" s="34"/>
      <c r="G196" s="34"/>
      <c r="H196" s="34"/>
      <c r="I196" s="34"/>
      <c r="J196" s="34"/>
      <c r="K196" s="150"/>
    </row>
    <row r="197" spans="1:11" x14ac:dyDescent="0.2">
      <c r="A197" s="151"/>
      <c r="B197" s="115"/>
      <c r="C197" s="112" t="s">
        <v>820</v>
      </c>
      <c r="D197" s="152"/>
      <c r="E197" s="113">
        <f>+E199+E205</f>
        <v>0</v>
      </c>
      <c r="F197" s="113">
        <f>+F199+F205</f>
        <v>0</v>
      </c>
      <c r="G197" s="113">
        <f>+G199+G205</f>
        <v>0</v>
      </c>
      <c r="H197" s="113">
        <f>+H199+H205</f>
        <v>0</v>
      </c>
      <c r="I197" s="426">
        <f>+I199+I205</f>
        <v>0</v>
      </c>
      <c r="J197" s="113">
        <f>E197+F197+G197+H197-I197</f>
        <v>0</v>
      </c>
      <c r="K197" s="110"/>
    </row>
    <row r="198" spans="1:11" x14ac:dyDescent="0.2">
      <c r="A198" s="151"/>
      <c r="B198" s="115"/>
      <c r="C198" s="112"/>
      <c r="D198" s="152"/>
      <c r="E198" s="113"/>
      <c r="F198" s="113"/>
      <c r="G198" s="113"/>
      <c r="H198" s="113"/>
      <c r="I198" s="113"/>
      <c r="J198" s="113"/>
      <c r="K198" s="110"/>
    </row>
    <row r="199" spans="1:11" x14ac:dyDescent="0.2">
      <c r="A199" s="106">
        <v>401</v>
      </c>
      <c r="B199" s="107"/>
      <c r="C199" s="108" t="s">
        <v>832</v>
      </c>
      <c r="D199" s="153"/>
      <c r="E199" s="109">
        <f>SUM(E200:E203)</f>
        <v>0</v>
      </c>
      <c r="F199" s="109">
        <f>SUM(F200:F203)</f>
        <v>0</v>
      </c>
      <c r="G199" s="109">
        <f>SUM(G200:G203)</f>
        <v>0</v>
      </c>
      <c r="H199" s="109">
        <f>SUM(H200:H203)</f>
        <v>0</v>
      </c>
      <c r="I199" s="109">
        <f>SUM(I200:I203)</f>
        <v>0</v>
      </c>
      <c r="J199" s="109">
        <f>E199+F199+G199+H199-I199</f>
        <v>0</v>
      </c>
      <c r="K199" s="103"/>
    </row>
    <row r="200" spans="1:11" x14ac:dyDescent="0.2">
      <c r="A200" s="106">
        <v>4010</v>
      </c>
      <c r="B200" s="107"/>
      <c r="C200" s="108" t="s">
        <v>608</v>
      </c>
      <c r="D200" s="153"/>
      <c r="E200" s="109"/>
      <c r="F200" s="109"/>
      <c r="G200" s="109"/>
      <c r="H200" s="109"/>
      <c r="I200" s="109">
        <f>E200+F200+G200+H200</f>
        <v>0</v>
      </c>
      <c r="J200" s="109">
        <f>E200+F200+G200+H200-I200</f>
        <v>0</v>
      </c>
      <c r="K200" s="104"/>
    </row>
    <row r="201" spans="1:11" x14ac:dyDescent="0.2">
      <c r="A201" s="106">
        <v>4011</v>
      </c>
      <c r="B201" s="107"/>
      <c r="C201" s="108" t="s">
        <v>613</v>
      </c>
      <c r="D201" s="153"/>
      <c r="E201" s="109"/>
      <c r="F201" s="109"/>
      <c r="G201" s="109"/>
      <c r="H201" s="109"/>
      <c r="I201" s="109">
        <f>E201+F201+G201+H201</f>
        <v>0</v>
      </c>
      <c r="J201" s="109">
        <f>E201+F201+G201+H201-I201</f>
        <v>0</v>
      </c>
      <c r="K201" s="104"/>
    </row>
    <row r="202" spans="1:11" x14ac:dyDescent="0.2">
      <c r="A202" s="106">
        <v>4012</v>
      </c>
      <c r="B202" s="107"/>
      <c r="C202" s="108" t="s">
        <v>615</v>
      </c>
      <c r="D202" s="153"/>
      <c r="E202" s="109"/>
      <c r="F202" s="109"/>
      <c r="G202" s="109"/>
      <c r="H202" s="109"/>
      <c r="I202" s="109">
        <f>E202+F202+G202+H202</f>
        <v>0</v>
      </c>
      <c r="J202" s="109">
        <f>E202+F202+G202+H202-I202</f>
        <v>0</v>
      </c>
      <c r="K202" s="104"/>
    </row>
    <row r="203" spans="1:11" x14ac:dyDescent="0.2">
      <c r="A203" s="106">
        <v>4013</v>
      </c>
      <c r="B203" s="107"/>
      <c r="C203" s="108" t="s">
        <v>617</v>
      </c>
      <c r="D203" s="153"/>
      <c r="E203" s="109"/>
      <c r="F203" s="109"/>
      <c r="G203" s="109"/>
      <c r="H203" s="109"/>
      <c r="I203" s="109">
        <f>E203+F203+G203+H203</f>
        <v>0</v>
      </c>
      <c r="J203" s="109">
        <f>E203+F203+G203+H203-I203</f>
        <v>0</v>
      </c>
      <c r="K203" s="104"/>
    </row>
    <row r="204" spans="1:11" x14ac:dyDescent="0.2">
      <c r="A204" s="114"/>
      <c r="B204" s="115"/>
      <c r="C204" s="154"/>
      <c r="D204" s="152"/>
      <c r="E204" s="116"/>
      <c r="F204" s="116"/>
      <c r="G204" s="116"/>
      <c r="H204" s="116"/>
      <c r="I204" s="116"/>
      <c r="J204" s="116"/>
      <c r="K204" s="105"/>
    </row>
    <row r="205" spans="1:11" x14ac:dyDescent="0.2">
      <c r="A205" s="106">
        <v>413301</v>
      </c>
      <c r="B205" s="107"/>
      <c r="C205" s="108" t="s">
        <v>821</v>
      </c>
      <c r="D205" s="153"/>
      <c r="E205" s="109"/>
      <c r="F205" s="109"/>
      <c r="G205" s="109"/>
      <c r="H205" s="109"/>
      <c r="I205" s="109">
        <f>E205+F205+G205+H205</f>
        <v>0</v>
      </c>
      <c r="J205" s="109">
        <f>E205+F205+G205+H205-I205</f>
        <v>0</v>
      </c>
      <c r="K205" s="104"/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/>
      <c r="B207" s="100"/>
      <c r="C207" s="101" t="s">
        <v>822</v>
      </c>
      <c r="D207" s="149"/>
      <c r="E207" s="31">
        <f t="shared" ref="E207:J207" si="15">+E209+E221</f>
        <v>0</v>
      </c>
      <c r="F207" s="31">
        <f t="shared" si="15"/>
        <v>0</v>
      </c>
      <c r="G207" s="31">
        <f t="shared" si="15"/>
        <v>0</v>
      </c>
      <c r="H207" s="31">
        <f t="shared" si="15"/>
        <v>0</v>
      </c>
      <c r="I207" s="31">
        <f t="shared" si="15"/>
        <v>0</v>
      </c>
      <c r="J207" s="31">
        <f t="shared" si="15"/>
        <v>0</v>
      </c>
      <c r="K207" s="103" t="e">
        <f>J207/J$175*100</f>
        <v>#REF!</v>
      </c>
    </row>
    <row r="208" spans="1:11" x14ac:dyDescent="0.2">
      <c r="A208" s="82"/>
      <c r="B208" s="94"/>
      <c r="C208" s="96"/>
      <c r="D208" s="145"/>
      <c r="E208" s="86"/>
      <c r="F208" s="86"/>
      <c r="G208" s="86"/>
      <c r="H208" s="86"/>
      <c r="I208" s="86"/>
      <c r="J208" s="86"/>
      <c r="K208" s="110"/>
    </row>
    <row r="209" spans="1:11" x14ac:dyDescent="0.2">
      <c r="A209" s="99">
        <v>402</v>
      </c>
      <c r="B209" s="100"/>
      <c r="C209" s="101" t="s">
        <v>833</v>
      </c>
      <c r="D209" s="149"/>
      <c r="E209" s="31">
        <f>SUM(E210:E219)</f>
        <v>0</v>
      </c>
      <c r="F209" s="31">
        <f>SUM(F210:F219)</f>
        <v>0</v>
      </c>
      <c r="G209" s="31"/>
      <c r="H209" s="31"/>
      <c r="I209" s="31">
        <f>SUM(I210:I219)</f>
        <v>0</v>
      </c>
      <c r="J209" s="31">
        <f>E209+F209+G209+H209-I209</f>
        <v>0</v>
      </c>
      <c r="K209" s="103" t="e">
        <f>J209/J$175*100</f>
        <v>#REF!</v>
      </c>
    </row>
    <row r="210" spans="1:11" x14ac:dyDescent="0.2">
      <c r="A210" s="99">
        <v>4020</v>
      </c>
      <c r="B210" s="100"/>
      <c r="C210" s="101" t="s">
        <v>937</v>
      </c>
      <c r="D210" s="149"/>
      <c r="E210" s="31"/>
      <c r="F210" s="31"/>
      <c r="G210" s="202" t="s">
        <v>845</v>
      </c>
      <c r="H210" s="202" t="s">
        <v>845</v>
      </c>
      <c r="I210" s="202" t="s">
        <v>845</v>
      </c>
      <c r="J210" s="202" t="s">
        <v>845</v>
      </c>
      <c r="K210" s="155"/>
    </row>
    <row r="211" spans="1:11" x14ac:dyDescent="0.2">
      <c r="A211" s="99">
        <v>4021</v>
      </c>
      <c r="B211" s="100"/>
      <c r="C211" s="101" t="s">
        <v>939</v>
      </c>
      <c r="D211" s="149"/>
      <c r="E211" s="31"/>
      <c r="F211" s="31"/>
      <c r="G211" s="202" t="s">
        <v>845</v>
      </c>
      <c r="H211" s="202" t="s">
        <v>845</v>
      </c>
      <c r="I211" s="202" t="s">
        <v>845</v>
      </c>
      <c r="J211" s="202" t="s">
        <v>845</v>
      </c>
      <c r="K211" s="155"/>
    </row>
    <row r="212" spans="1:11" x14ac:dyDescent="0.2">
      <c r="A212" s="99">
        <v>4022</v>
      </c>
      <c r="B212" s="100"/>
      <c r="C212" s="101" t="s">
        <v>941</v>
      </c>
      <c r="D212" s="149"/>
      <c r="E212" s="31"/>
      <c r="F212" s="31"/>
      <c r="G212" s="202" t="s">
        <v>845</v>
      </c>
      <c r="H212" s="202" t="s">
        <v>845</v>
      </c>
      <c r="I212" s="202" t="s">
        <v>845</v>
      </c>
      <c r="J212" s="202" t="s">
        <v>845</v>
      </c>
      <c r="K212" s="155"/>
    </row>
    <row r="213" spans="1:11" x14ac:dyDescent="0.2">
      <c r="A213" s="99">
        <v>4023</v>
      </c>
      <c r="B213" s="100"/>
      <c r="C213" s="101" t="s">
        <v>943</v>
      </c>
      <c r="D213" s="149"/>
      <c r="E213" s="31"/>
      <c r="F213" s="31"/>
      <c r="G213" s="202" t="s">
        <v>845</v>
      </c>
      <c r="H213" s="202" t="s">
        <v>845</v>
      </c>
      <c r="I213" s="202" t="s">
        <v>845</v>
      </c>
      <c r="J213" s="202" t="s">
        <v>845</v>
      </c>
      <c r="K213" s="155"/>
    </row>
    <row r="214" spans="1:11" x14ac:dyDescent="0.2">
      <c r="A214" s="99">
        <v>4024</v>
      </c>
      <c r="B214" s="100"/>
      <c r="C214" s="101" t="s">
        <v>945</v>
      </c>
      <c r="D214" s="149"/>
      <c r="E214" s="31"/>
      <c r="F214" s="31"/>
      <c r="G214" s="202" t="s">
        <v>845</v>
      </c>
      <c r="H214" s="202" t="s">
        <v>845</v>
      </c>
      <c r="I214" s="202" t="s">
        <v>845</v>
      </c>
      <c r="J214" s="202" t="s">
        <v>845</v>
      </c>
      <c r="K214" s="155"/>
    </row>
    <row r="215" spans="1:11" x14ac:dyDescent="0.2">
      <c r="A215" s="99">
        <v>4025</v>
      </c>
      <c r="B215" s="100"/>
      <c r="C215" s="101" t="s">
        <v>947</v>
      </c>
      <c r="D215" s="149"/>
      <c r="E215" s="31"/>
      <c r="F215" s="31"/>
      <c r="G215" s="202" t="s">
        <v>845</v>
      </c>
      <c r="H215" s="202" t="s">
        <v>845</v>
      </c>
      <c r="I215" s="202" t="s">
        <v>845</v>
      </c>
      <c r="J215" s="202" t="s">
        <v>845</v>
      </c>
      <c r="K215" s="155"/>
    </row>
    <row r="216" spans="1:11" x14ac:dyDescent="0.2">
      <c r="A216" s="99">
        <v>4026</v>
      </c>
      <c r="B216" s="100"/>
      <c r="C216" s="101" t="s">
        <v>949</v>
      </c>
      <c r="D216" s="149"/>
      <c r="E216" s="31"/>
      <c r="F216" s="31"/>
      <c r="G216" s="202" t="s">
        <v>845</v>
      </c>
      <c r="H216" s="202" t="s">
        <v>845</v>
      </c>
      <c r="I216" s="202" t="s">
        <v>845</v>
      </c>
      <c r="J216" s="202" t="s">
        <v>845</v>
      </c>
      <c r="K216" s="155"/>
    </row>
    <row r="217" spans="1:11" x14ac:dyDescent="0.2">
      <c r="A217" s="99">
        <v>4027</v>
      </c>
      <c r="B217" s="100"/>
      <c r="C217" s="101" t="s">
        <v>951</v>
      </c>
      <c r="D217" s="149"/>
      <c r="E217" s="31"/>
      <c r="F217" s="31"/>
      <c r="G217" s="202" t="s">
        <v>845</v>
      </c>
      <c r="H217" s="202" t="s">
        <v>845</v>
      </c>
      <c r="I217" s="202" t="s">
        <v>845</v>
      </c>
      <c r="J217" s="202" t="s">
        <v>845</v>
      </c>
      <c r="K217" s="155"/>
    </row>
    <row r="218" spans="1:11" x14ac:dyDescent="0.2">
      <c r="A218" s="99">
        <v>4028</v>
      </c>
      <c r="B218" s="100"/>
      <c r="C218" s="101" t="s">
        <v>265</v>
      </c>
      <c r="D218" s="149"/>
      <c r="E218" s="31"/>
      <c r="F218" s="31"/>
      <c r="G218" s="202" t="s">
        <v>845</v>
      </c>
      <c r="H218" s="202" t="s">
        <v>845</v>
      </c>
      <c r="I218" s="202" t="s">
        <v>845</v>
      </c>
      <c r="J218" s="202" t="s">
        <v>845</v>
      </c>
      <c r="K218" s="155"/>
    </row>
    <row r="219" spans="1:11" x14ac:dyDescent="0.2">
      <c r="A219" s="99">
        <v>4029</v>
      </c>
      <c r="B219" s="100"/>
      <c r="C219" s="101" t="s">
        <v>953</v>
      </c>
      <c r="D219" s="149"/>
      <c r="E219" s="31"/>
      <c r="F219" s="31"/>
      <c r="G219" s="202" t="s">
        <v>845</v>
      </c>
      <c r="H219" s="202" t="s">
        <v>845</v>
      </c>
      <c r="I219" s="202" t="s">
        <v>845</v>
      </c>
      <c r="J219" s="202" t="s">
        <v>845</v>
      </c>
      <c r="K219" s="155"/>
    </row>
    <row r="220" spans="1:11" x14ac:dyDescent="0.2">
      <c r="A220" s="82"/>
      <c r="B220" s="94"/>
      <c r="C220" s="95"/>
      <c r="D220" s="145"/>
      <c r="E220" s="34"/>
      <c r="F220" s="34"/>
      <c r="G220" s="34"/>
      <c r="H220" s="34"/>
      <c r="I220" s="34"/>
      <c r="J220" s="34"/>
      <c r="K220" s="87"/>
    </row>
    <row r="221" spans="1:11" x14ac:dyDescent="0.2">
      <c r="A221" s="99">
        <v>413302</v>
      </c>
      <c r="B221" s="100"/>
      <c r="C221" s="101" t="s">
        <v>823</v>
      </c>
      <c r="D221" s="149"/>
      <c r="E221" s="31"/>
      <c r="F221" s="31"/>
      <c r="G221" s="31"/>
      <c r="H221" s="31"/>
      <c r="I221" s="31">
        <v>0</v>
      </c>
      <c r="J221" s="31">
        <f>E221+F221+G221+H221-I221</f>
        <v>0</v>
      </c>
      <c r="K221" s="103" t="e">
        <f>J221/J$175*100</f>
        <v>#REF!</v>
      </c>
    </row>
    <row r="222" spans="1:11" x14ac:dyDescent="0.2">
      <c r="A222" s="82"/>
      <c r="B222" s="94"/>
      <c r="C222" s="95"/>
      <c r="D222" s="145"/>
      <c r="E222" s="34"/>
      <c r="F222" s="34"/>
      <c r="G222" s="34"/>
      <c r="H222" s="34"/>
      <c r="I222" s="34"/>
      <c r="J222" s="34"/>
      <c r="K222" s="105"/>
    </row>
    <row r="223" spans="1:11" x14ac:dyDescent="0.2">
      <c r="A223" s="99">
        <v>403</v>
      </c>
      <c r="B223" s="100"/>
      <c r="C223" s="101" t="s">
        <v>957</v>
      </c>
      <c r="D223" s="149"/>
      <c r="E223" s="31">
        <f>SUM(E224:E228)</f>
        <v>0</v>
      </c>
      <c r="F223" s="31">
        <f>SUM(F224:F228)</f>
        <v>0</v>
      </c>
      <c r="G223" s="31">
        <f>SUM(G224:G228)</f>
        <v>0</v>
      </c>
      <c r="H223" s="31">
        <v>0</v>
      </c>
      <c r="I223" s="31">
        <f>SUM(I224:I228)</f>
        <v>0</v>
      </c>
      <c r="J223" s="31">
        <f>E223+F223+G223+H223-I223</f>
        <v>0</v>
      </c>
      <c r="K223" s="103" t="e">
        <f t="shared" ref="K223:K228" si="16">J223/J$175*100</f>
        <v>#REF!</v>
      </c>
    </row>
    <row r="224" spans="1:11" x14ac:dyDescent="0.2">
      <c r="A224" s="99">
        <v>4030</v>
      </c>
      <c r="B224" s="100"/>
      <c r="C224" s="101" t="s">
        <v>959</v>
      </c>
      <c r="D224" s="149"/>
      <c r="E224" s="31"/>
      <c r="F224" s="31"/>
      <c r="G224" s="31"/>
      <c r="H224" s="31">
        <v>0</v>
      </c>
      <c r="I224" s="31"/>
      <c r="J224" s="31">
        <f>E224+F224+G224+H224</f>
        <v>0</v>
      </c>
      <c r="K224" s="103" t="e">
        <f t="shared" si="16"/>
        <v>#REF!</v>
      </c>
    </row>
    <row r="225" spans="1:11" x14ac:dyDescent="0.2">
      <c r="A225" s="99">
        <v>4031</v>
      </c>
      <c r="B225" s="100"/>
      <c r="C225" s="101" t="s">
        <v>961</v>
      </c>
      <c r="D225" s="149"/>
      <c r="E225" s="31"/>
      <c r="F225" s="31"/>
      <c r="G225" s="31"/>
      <c r="H225" s="31">
        <v>0</v>
      </c>
      <c r="I225" s="31"/>
      <c r="J225" s="31">
        <f>E225+F225+G225+H225</f>
        <v>0</v>
      </c>
      <c r="K225" s="103" t="e">
        <f t="shared" si="16"/>
        <v>#REF!</v>
      </c>
    </row>
    <row r="226" spans="1:11" x14ac:dyDescent="0.2">
      <c r="A226" s="99">
        <v>4032</v>
      </c>
      <c r="B226" s="100"/>
      <c r="C226" s="101" t="s">
        <v>963</v>
      </c>
      <c r="D226" s="149"/>
      <c r="E226" s="31"/>
      <c r="F226" s="31"/>
      <c r="G226" s="31"/>
      <c r="H226" s="31">
        <v>0</v>
      </c>
      <c r="I226" s="31"/>
      <c r="J226" s="31">
        <f>E226+F226+G226+H226</f>
        <v>0</v>
      </c>
      <c r="K226" s="103" t="e">
        <f t="shared" si="16"/>
        <v>#REF!</v>
      </c>
    </row>
    <row r="227" spans="1:11" x14ac:dyDescent="0.2">
      <c r="A227" s="99">
        <v>4033</v>
      </c>
      <c r="B227" s="100"/>
      <c r="C227" s="101" t="s">
        <v>965</v>
      </c>
      <c r="D227" s="149"/>
      <c r="E227" s="31"/>
      <c r="F227" s="31"/>
      <c r="G227" s="31"/>
      <c r="H227" s="31">
        <v>0</v>
      </c>
      <c r="I227" s="31"/>
      <c r="J227" s="31">
        <f>E227+F227+G227+H227</f>
        <v>0</v>
      </c>
      <c r="K227" s="103" t="e">
        <f t="shared" si="16"/>
        <v>#REF!</v>
      </c>
    </row>
    <row r="228" spans="1:11" x14ac:dyDescent="0.2">
      <c r="A228" s="99">
        <v>4034</v>
      </c>
      <c r="B228" s="100"/>
      <c r="C228" s="101" t="s">
        <v>967</v>
      </c>
      <c r="D228" s="149"/>
      <c r="E228" s="31"/>
      <c r="F228" s="31"/>
      <c r="G228" s="31"/>
      <c r="H228" s="31">
        <v>0</v>
      </c>
      <c r="I228" s="31"/>
      <c r="J228" s="31">
        <f>E228+F228+G228+H228</f>
        <v>0</v>
      </c>
      <c r="K228" s="103" t="e">
        <f t="shared" si="16"/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99">
        <v>404</v>
      </c>
      <c r="B230" s="100"/>
      <c r="C230" s="101" t="s">
        <v>969</v>
      </c>
      <c r="D230" s="149"/>
      <c r="E230" s="31">
        <f>SUM(E231:E235)</f>
        <v>0</v>
      </c>
      <c r="F230" s="31">
        <f>SUM(F231:F234)</f>
        <v>0</v>
      </c>
      <c r="G230" s="31">
        <f>SUM(G231:G234)</f>
        <v>0</v>
      </c>
      <c r="H230" s="31">
        <v>0</v>
      </c>
      <c r="I230" s="31">
        <f>SUM(I231:I234)</f>
        <v>0</v>
      </c>
      <c r="J230" s="31">
        <f>E230+F230+G230+H230-I230</f>
        <v>0</v>
      </c>
      <c r="K230" s="103" t="e">
        <f>J230/J$175*100</f>
        <v>#REF!</v>
      </c>
    </row>
    <row r="231" spans="1:11" x14ac:dyDescent="0.2">
      <c r="A231" s="99">
        <v>4040</v>
      </c>
      <c r="B231" s="100"/>
      <c r="C231" s="101" t="s">
        <v>971</v>
      </c>
      <c r="D231" s="149"/>
      <c r="E231" s="31"/>
      <c r="F231" s="31">
        <v>0</v>
      </c>
      <c r="G231" s="31">
        <v>0</v>
      </c>
      <c r="H231" s="31">
        <v>0</v>
      </c>
      <c r="I231" s="31"/>
      <c r="J231" s="31">
        <f>E231+F231+G231+H231</f>
        <v>0</v>
      </c>
      <c r="K231" s="103"/>
    </row>
    <row r="232" spans="1:11" x14ac:dyDescent="0.2">
      <c r="A232" s="99">
        <v>4041</v>
      </c>
      <c r="B232" s="100"/>
      <c r="C232" s="101" t="s">
        <v>973</v>
      </c>
      <c r="D232" s="149"/>
      <c r="E232" s="31"/>
      <c r="F232" s="31">
        <v>0</v>
      </c>
      <c r="G232" s="31">
        <v>0</v>
      </c>
      <c r="H232" s="31">
        <v>0</v>
      </c>
      <c r="I232" s="31"/>
      <c r="J232" s="31">
        <f>E232+F232+G232+H232</f>
        <v>0</v>
      </c>
      <c r="K232" s="103" t="e">
        <f>J232/J$175*100</f>
        <v>#REF!</v>
      </c>
    </row>
    <row r="233" spans="1:11" x14ac:dyDescent="0.2">
      <c r="A233" s="99">
        <v>4042</v>
      </c>
      <c r="B233" s="100"/>
      <c r="C233" s="101" t="s">
        <v>975</v>
      </c>
      <c r="D233" s="149"/>
      <c r="E233" s="31"/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>J233/J$175*100</f>
        <v>#REF!</v>
      </c>
    </row>
    <row r="234" spans="1:11" x14ac:dyDescent="0.2">
      <c r="A234" s="99">
        <v>4043</v>
      </c>
      <c r="B234" s="100"/>
      <c r="C234" s="101" t="s">
        <v>977</v>
      </c>
      <c r="D234" s="149"/>
      <c r="E234" s="31"/>
      <c r="F234" s="31">
        <v>0</v>
      </c>
      <c r="G234" s="31">
        <v>0</v>
      </c>
      <c r="H234" s="31">
        <v>0</v>
      </c>
      <c r="I234" s="31"/>
      <c r="J234" s="31">
        <f>E234+F234+G234+H234</f>
        <v>0</v>
      </c>
      <c r="K234" s="103" t="e">
        <f>J234/J$175*100</f>
        <v>#REF!</v>
      </c>
    </row>
    <row r="235" spans="1:11" x14ac:dyDescent="0.2">
      <c r="A235" s="99">
        <v>4044</v>
      </c>
      <c r="B235" s="100"/>
      <c r="C235" s="101" t="s">
        <v>834</v>
      </c>
      <c r="D235" s="149"/>
      <c r="E235" s="31"/>
      <c r="F235" s="31">
        <v>0</v>
      </c>
      <c r="G235" s="31">
        <v>0</v>
      </c>
      <c r="H235" s="31">
        <v>0</v>
      </c>
      <c r="I235" s="31"/>
      <c r="J235" s="31">
        <f>E235+F235+G235+H235</f>
        <v>0</v>
      </c>
      <c r="K235" s="103" t="e">
        <f>J235/J$175*100</f>
        <v>#REF!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99">
        <v>409</v>
      </c>
      <c r="B237" s="100"/>
      <c r="C237" s="101" t="s">
        <v>979</v>
      </c>
      <c r="D237" s="149"/>
      <c r="E237" s="31">
        <f>+E238+E239+E240+E241</f>
        <v>0</v>
      </c>
      <c r="F237" s="31">
        <f>+F238+F239+F240+F241</f>
        <v>0</v>
      </c>
      <c r="G237" s="31">
        <f>+G238+G239+G240+G241</f>
        <v>0</v>
      </c>
      <c r="H237" s="31">
        <f>+H238+H239+H240+H241</f>
        <v>0</v>
      </c>
      <c r="I237" s="31">
        <f>+I238+I239+I240+I241</f>
        <v>0</v>
      </c>
      <c r="J237" s="31">
        <f>E237+F237+G237+H237-I237</f>
        <v>0</v>
      </c>
      <c r="K237" s="103" t="e">
        <f>J237/J$175*100</f>
        <v>#REF!</v>
      </c>
    </row>
    <row r="238" spans="1:11" x14ac:dyDescent="0.2">
      <c r="A238" s="99">
        <v>4090</v>
      </c>
      <c r="B238" s="100"/>
      <c r="C238" s="101" t="s">
        <v>981</v>
      </c>
      <c r="D238" s="149"/>
      <c r="E238" s="31"/>
      <c r="F238" s="31"/>
      <c r="G238" s="31">
        <v>0</v>
      </c>
      <c r="H238" s="31">
        <v>0</v>
      </c>
      <c r="I238" s="31"/>
      <c r="J238" s="31">
        <f>E238+F238+G238+H238-I238</f>
        <v>0</v>
      </c>
      <c r="K238" s="103" t="e">
        <f>J238/J$175*100</f>
        <v>#REF!</v>
      </c>
    </row>
    <row r="239" spans="1:11" x14ac:dyDescent="0.2">
      <c r="A239" s="99">
        <v>4091</v>
      </c>
      <c r="B239" s="100"/>
      <c r="C239" s="101" t="s">
        <v>983</v>
      </c>
      <c r="D239" s="149"/>
      <c r="E239" s="31"/>
      <c r="F239" s="31"/>
      <c r="G239" s="31">
        <v>0</v>
      </c>
      <c r="H239" s="31">
        <v>0</v>
      </c>
      <c r="I239" s="31"/>
      <c r="J239" s="31">
        <f>E239+F239+G239+H239-I239</f>
        <v>0</v>
      </c>
      <c r="K239" s="103" t="e">
        <f>J239/J$175*100</f>
        <v>#REF!</v>
      </c>
    </row>
    <row r="240" spans="1:11" x14ac:dyDescent="0.2">
      <c r="A240" s="99">
        <v>4092</v>
      </c>
      <c r="B240" s="100"/>
      <c r="C240" s="101" t="s">
        <v>985</v>
      </c>
      <c r="D240" s="149"/>
      <c r="E240" s="31"/>
      <c r="F240" s="31"/>
      <c r="G240" s="31">
        <v>0</v>
      </c>
      <c r="H240" s="31">
        <v>0</v>
      </c>
      <c r="I240" s="31"/>
      <c r="J240" s="31">
        <f>E240+F240+G240+H240-I240</f>
        <v>0</v>
      </c>
      <c r="K240" s="103"/>
    </row>
    <row r="241" spans="1:11" x14ac:dyDescent="0.2">
      <c r="A241" s="99">
        <v>4093</v>
      </c>
      <c r="B241" s="100"/>
      <c r="C241" s="101" t="s">
        <v>875</v>
      </c>
      <c r="D241" s="149"/>
      <c r="E241" s="31"/>
      <c r="F241" s="31"/>
      <c r="G241" s="31"/>
      <c r="H241" s="31"/>
      <c r="I241" s="31"/>
      <c r="J241" s="31">
        <f>E241+F241+G241+H241-I241</f>
        <v>0</v>
      </c>
      <c r="K241" s="103"/>
    </row>
    <row r="242" spans="1:11" x14ac:dyDescent="0.2">
      <c r="A242" s="82"/>
      <c r="B242" s="94"/>
      <c r="C242" s="95"/>
      <c r="D242" s="145"/>
      <c r="E242" s="34"/>
      <c r="F242" s="34"/>
      <c r="G242" s="34"/>
      <c r="H242" s="34"/>
      <c r="I242" s="34"/>
      <c r="J242" s="34"/>
      <c r="K242" s="105"/>
    </row>
    <row r="243" spans="1:11" ht="15.75" x14ac:dyDescent="0.25">
      <c r="A243" s="88">
        <v>41</v>
      </c>
      <c r="B243" s="89"/>
      <c r="C243" s="90" t="s">
        <v>987</v>
      </c>
      <c r="D243" s="146"/>
      <c r="E243" s="32">
        <f>E246+E251+E262+E266+E279</f>
        <v>0</v>
      </c>
      <c r="F243" s="32">
        <f>F246+F251+F262+F266+F279</f>
        <v>0</v>
      </c>
      <c r="G243" s="32">
        <f>G246+G251+G262+G266+G279</f>
        <v>0</v>
      </c>
      <c r="H243" s="32">
        <f>H246+H251+H262+H266+H279</f>
        <v>0</v>
      </c>
      <c r="I243" s="32">
        <f>I246+I251+I262+I266+I279</f>
        <v>0</v>
      </c>
      <c r="J243" s="32">
        <f>E243+F243+G243+H243-I243</f>
        <v>0</v>
      </c>
      <c r="K243" s="92" t="e">
        <f>J243/J$175*100</f>
        <v>#REF!</v>
      </c>
    </row>
    <row r="244" spans="1:11" x14ac:dyDescent="0.2">
      <c r="A244" s="147"/>
      <c r="B244" s="148"/>
      <c r="C244" s="96" t="s">
        <v>989</v>
      </c>
      <c r="D244" s="145"/>
      <c r="E244" s="34"/>
      <c r="F244" s="34"/>
      <c r="G244" s="34"/>
      <c r="H244" s="34"/>
      <c r="I244" s="34"/>
      <c r="J244" s="34"/>
      <c r="K244" s="105"/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410</v>
      </c>
      <c r="B246" s="100"/>
      <c r="C246" s="101" t="s">
        <v>990</v>
      </c>
      <c r="D246" s="149"/>
      <c r="E246" s="31">
        <f>E247+E248+E249</f>
        <v>0</v>
      </c>
      <c r="F246" s="31">
        <f>F247+F248+F249</f>
        <v>0</v>
      </c>
      <c r="G246" s="31">
        <f>G247+G248+G249</f>
        <v>0</v>
      </c>
      <c r="H246" s="31">
        <f>H247+H248+H249</f>
        <v>0</v>
      </c>
      <c r="I246" s="31">
        <f>I247+I248+I249</f>
        <v>0</v>
      </c>
      <c r="J246" s="31">
        <f>E246+F246+G246+H246-I246</f>
        <v>0</v>
      </c>
      <c r="K246" s="103" t="e">
        <f>J246/J$175*100</f>
        <v>#REF!</v>
      </c>
    </row>
    <row r="247" spans="1:11" x14ac:dyDescent="0.2">
      <c r="A247" s="99">
        <v>4100</v>
      </c>
      <c r="B247" s="100"/>
      <c r="C247" s="101" t="s">
        <v>992</v>
      </c>
      <c r="D247" s="149"/>
      <c r="E247" s="31"/>
      <c r="F247" s="31"/>
      <c r="G247" s="31">
        <v>0</v>
      </c>
      <c r="H247" s="31">
        <v>0</v>
      </c>
      <c r="I247" s="31"/>
      <c r="J247" s="31">
        <f>E247+F247+G247+H247</f>
        <v>0</v>
      </c>
      <c r="K247" s="103" t="e">
        <f>J247/J$175*100</f>
        <v>#REF!</v>
      </c>
    </row>
    <row r="248" spans="1:11" x14ac:dyDescent="0.2">
      <c r="A248" s="99">
        <v>4101</v>
      </c>
      <c r="B248" s="100"/>
      <c r="C248" s="101" t="s">
        <v>994</v>
      </c>
      <c r="D248" s="149"/>
      <c r="E248" s="31"/>
      <c r="F248" s="31"/>
      <c r="G248" s="31">
        <v>0</v>
      </c>
      <c r="H248" s="31">
        <v>0</v>
      </c>
      <c r="I248" s="31"/>
      <c r="J248" s="31">
        <f>E248+F248+G248+H248</f>
        <v>0</v>
      </c>
      <c r="K248" s="103" t="e">
        <f>J248/J$175*100</f>
        <v>#REF!</v>
      </c>
    </row>
    <row r="249" spans="1:11" x14ac:dyDescent="0.2">
      <c r="A249" s="99">
        <v>4102</v>
      </c>
      <c r="B249" s="100"/>
      <c r="C249" s="101" t="s">
        <v>996</v>
      </c>
      <c r="D249" s="149"/>
      <c r="E249" s="31"/>
      <c r="F249" s="31"/>
      <c r="G249" s="31">
        <v>0</v>
      </c>
      <c r="H249" s="31">
        <v>0</v>
      </c>
      <c r="I249" s="31"/>
      <c r="J249" s="31">
        <f>E249+F249+G249+H249</f>
        <v>0</v>
      </c>
      <c r="K249" s="103" t="e">
        <f>J249/J$175*100</f>
        <v>#REF!</v>
      </c>
    </row>
    <row r="250" spans="1:11" x14ac:dyDescent="0.2">
      <c r="A250" s="82"/>
      <c r="B250" s="94"/>
      <c r="C250" s="95"/>
      <c r="D250" s="145"/>
      <c r="E250" s="34"/>
      <c r="F250" s="34"/>
      <c r="G250" s="34"/>
      <c r="H250" s="34"/>
      <c r="I250" s="34"/>
      <c r="J250" s="34"/>
      <c r="K250" s="105"/>
    </row>
    <row r="251" spans="1:11" x14ac:dyDescent="0.2">
      <c r="A251" s="99">
        <v>411</v>
      </c>
      <c r="B251" s="100"/>
      <c r="C251" s="101" t="s">
        <v>998</v>
      </c>
      <c r="D251" s="149"/>
      <c r="E251" s="31">
        <f>SUM(E252:E260)</f>
        <v>0</v>
      </c>
      <c r="F251" s="31">
        <f>SUM(F252:F260)</f>
        <v>0</v>
      </c>
      <c r="G251" s="31">
        <f>SUM(G252:G260)</f>
        <v>0</v>
      </c>
      <c r="H251" s="31">
        <f>SUM(H252:H260)</f>
        <v>0</v>
      </c>
      <c r="I251" s="31">
        <f>SUM(I252:I260)</f>
        <v>0</v>
      </c>
      <c r="J251" s="31">
        <f>E251+F251+G251+H251-I251</f>
        <v>0</v>
      </c>
      <c r="K251" s="103" t="e">
        <f t="shared" ref="K251:K260" si="17">J251/J$175*100</f>
        <v>#REF!</v>
      </c>
    </row>
    <row r="252" spans="1:11" x14ac:dyDescent="0.2">
      <c r="A252" s="99">
        <v>4110</v>
      </c>
      <c r="B252" s="100"/>
      <c r="C252" s="101" t="s">
        <v>1000</v>
      </c>
      <c r="D252" s="149"/>
      <c r="E252" s="31"/>
      <c r="F252" s="31"/>
      <c r="G252" s="31"/>
      <c r="H252" s="31"/>
      <c r="I252" s="429">
        <f>+F135</f>
        <v>0</v>
      </c>
      <c r="J252" s="109">
        <f>E252+F252+G252+H252-I252</f>
        <v>0</v>
      </c>
      <c r="K252" s="103" t="e">
        <f t="shared" si="17"/>
        <v>#REF!</v>
      </c>
    </row>
    <row r="253" spans="1:11" x14ac:dyDescent="0.2">
      <c r="A253" s="99">
        <v>4111</v>
      </c>
      <c r="B253" s="100"/>
      <c r="C253" s="101" t="s">
        <v>1002</v>
      </c>
      <c r="D253" s="149"/>
      <c r="E253" s="31"/>
      <c r="F253" s="31"/>
      <c r="G253" s="31"/>
      <c r="H253" s="31"/>
      <c r="I253" s="31"/>
      <c r="J253" s="109">
        <f>E253+F253+G253+H253-I253</f>
        <v>0</v>
      </c>
      <c r="K253" s="103" t="e">
        <f t="shared" si="17"/>
        <v>#REF!</v>
      </c>
    </row>
    <row r="254" spans="1:11" x14ac:dyDescent="0.2">
      <c r="A254" s="99">
        <v>4112</v>
      </c>
      <c r="B254" s="100"/>
      <c r="C254" s="101" t="s">
        <v>1004</v>
      </c>
      <c r="D254" s="149"/>
      <c r="E254" s="31"/>
      <c r="F254" s="31"/>
      <c r="G254" s="31"/>
      <c r="H254" s="31"/>
      <c r="I254" s="31"/>
      <c r="J254" s="31">
        <f>E254+F254+G254+H254</f>
        <v>0</v>
      </c>
      <c r="K254" s="103" t="e">
        <f t="shared" si="17"/>
        <v>#REF!</v>
      </c>
    </row>
    <row r="255" spans="1:11" x14ac:dyDescent="0.2">
      <c r="A255" s="99">
        <v>4113</v>
      </c>
      <c r="B255" s="100"/>
      <c r="C255" s="101" t="s">
        <v>1006</v>
      </c>
      <c r="D255" s="149"/>
      <c r="E255" s="31"/>
      <c r="F255" s="31"/>
      <c r="G255" s="31"/>
      <c r="H255" s="31"/>
      <c r="I255" s="31"/>
      <c r="J255" s="31">
        <f>E255+F255+G255+H255</f>
        <v>0</v>
      </c>
      <c r="K255" s="103" t="e">
        <f t="shared" si="17"/>
        <v>#REF!</v>
      </c>
    </row>
    <row r="256" spans="1:11" x14ac:dyDescent="0.2">
      <c r="A256" s="99">
        <v>4114</v>
      </c>
      <c r="B256" s="100"/>
      <c r="C256" s="101" t="s">
        <v>1008</v>
      </c>
      <c r="D256" s="149"/>
      <c r="E256" s="31"/>
      <c r="F256" s="31"/>
      <c r="G256" s="31"/>
      <c r="H256" s="31"/>
      <c r="I256" s="31"/>
      <c r="J256" s="31">
        <f>E256+F256+G256+H256</f>
        <v>0</v>
      </c>
      <c r="K256" s="103" t="e">
        <f t="shared" si="17"/>
        <v>#REF!</v>
      </c>
    </row>
    <row r="257" spans="1:11" x14ac:dyDescent="0.2">
      <c r="A257" s="99">
        <v>4115</v>
      </c>
      <c r="B257" s="100"/>
      <c r="C257" s="101" t="s">
        <v>1010</v>
      </c>
      <c r="D257" s="149"/>
      <c r="E257" s="31"/>
      <c r="F257" s="31"/>
      <c r="G257" s="31"/>
      <c r="H257" s="31"/>
      <c r="I257" s="31"/>
      <c r="J257" s="31">
        <f>E257+F257+G257+H257</f>
        <v>0</v>
      </c>
      <c r="K257" s="103" t="e">
        <f t="shared" si="17"/>
        <v>#REF!</v>
      </c>
    </row>
    <row r="258" spans="1:11" x14ac:dyDescent="0.2">
      <c r="A258" s="99">
        <v>4116</v>
      </c>
      <c r="B258" s="100"/>
      <c r="C258" s="101" t="s">
        <v>1012</v>
      </c>
      <c r="D258" s="149"/>
      <c r="E258" s="31"/>
      <c r="F258" s="31"/>
      <c r="G258" s="31"/>
      <c r="H258" s="31"/>
      <c r="I258" s="31"/>
      <c r="J258" s="109">
        <f>E258+F258+G258+H258-I258</f>
        <v>0</v>
      </c>
      <c r="K258" s="103" t="e">
        <f t="shared" si="17"/>
        <v>#REF!</v>
      </c>
    </row>
    <row r="259" spans="1:11" x14ac:dyDescent="0.2">
      <c r="A259" s="99">
        <v>4117</v>
      </c>
      <c r="B259" s="100"/>
      <c r="C259" s="101" t="s">
        <v>1014</v>
      </c>
      <c r="D259" s="149"/>
      <c r="E259" s="31"/>
      <c r="F259" s="31"/>
      <c r="G259" s="31"/>
      <c r="H259" s="31"/>
      <c r="I259" s="31"/>
      <c r="J259" s="31">
        <f>E259+F259+G259+H259</f>
        <v>0</v>
      </c>
      <c r="K259" s="103" t="e">
        <f t="shared" si="17"/>
        <v>#REF!</v>
      </c>
    </row>
    <row r="260" spans="1:11" x14ac:dyDescent="0.2">
      <c r="A260" s="99">
        <v>4119</v>
      </c>
      <c r="B260" s="100"/>
      <c r="C260" s="101" t="s">
        <v>1016</v>
      </c>
      <c r="D260" s="149"/>
      <c r="E260" s="31"/>
      <c r="F260" s="31"/>
      <c r="G260" s="31"/>
      <c r="H260" s="31"/>
      <c r="I260" s="31"/>
      <c r="J260" s="31">
        <f>E260+F260+G260+H260-I260</f>
        <v>0</v>
      </c>
      <c r="K260" s="103" t="e">
        <f t="shared" si="17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x14ac:dyDescent="0.2">
      <c r="A262" s="99">
        <v>412</v>
      </c>
      <c r="B262" s="100"/>
      <c r="C262" s="101" t="s">
        <v>0</v>
      </c>
      <c r="D262" s="149"/>
      <c r="E262" s="31">
        <f>E264</f>
        <v>0</v>
      </c>
      <c r="F262" s="31">
        <f>F264</f>
        <v>0</v>
      </c>
      <c r="G262" s="31">
        <f>G264</f>
        <v>0</v>
      </c>
      <c r="H262" s="31">
        <f>H264</f>
        <v>0</v>
      </c>
      <c r="I262" s="31">
        <f>I264</f>
        <v>0</v>
      </c>
      <c r="J262" s="31">
        <f>E262+F262+G262+H262-I262</f>
        <v>0</v>
      </c>
      <c r="K262" s="103" t="e">
        <f>J262/J$175*100</f>
        <v>#REF!</v>
      </c>
    </row>
    <row r="263" spans="1:11" x14ac:dyDescent="0.2">
      <c r="A263" s="147"/>
      <c r="B263" s="148"/>
      <c r="C263" s="101" t="s">
        <v>2</v>
      </c>
      <c r="D263" s="145"/>
      <c r="E263" s="34"/>
      <c r="F263" s="34"/>
      <c r="G263" s="34"/>
      <c r="H263" s="34"/>
      <c r="I263" s="34"/>
      <c r="J263" s="34"/>
      <c r="K263" s="105"/>
    </row>
    <row r="264" spans="1:11" x14ac:dyDescent="0.2">
      <c r="A264" s="99">
        <v>4120</v>
      </c>
      <c r="B264" s="100"/>
      <c r="C264" s="101" t="s">
        <v>4</v>
      </c>
      <c r="D264" s="149"/>
      <c r="E264" s="31"/>
      <c r="F264" s="31"/>
      <c r="G264" s="31"/>
      <c r="H264" s="31"/>
      <c r="I264" s="31">
        <v>0</v>
      </c>
      <c r="J264" s="31">
        <f>E264+F264+G264+H264</f>
        <v>0</v>
      </c>
      <c r="K264" s="103" t="e">
        <f>J264/J$175*100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99">
        <v>413</v>
      </c>
      <c r="B266" s="100"/>
      <c r="C266" s="101" t="s">
        <v>6</v>
      </c>
      <c r="D266" s="149"/>
      <c r="E266" s="31">
        <f>+E268+E270+E272+E276</f>
        <v>0</v>
      </c>
      <c r="F266" s="31">
        <f>+F268+F270+F272</f>
        <v>0</v>
      </c>
      <c r="G266" s="31">
        <f>+G268+G270+G272</f>
        <v>0</v>
      </c>
      <c r="H266" s="31">
        <f>+H268+H270+H272+H276</f>
        <v>0</v>
      </c>
      <c r="I266" s="31">
        <f>+I268+I270+I272+I276</f>
        <v>0</v>
      </c>
      <c r="J266" s="31">
        <f>E266+F266+G266+H266-I266</f>
        <v>0</v>
      </c>
      <c r="K266" s="103" t="e">
        <f>J266/J$175*100</f>
        <v>#REF!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x14ac:dyDescent="0.2">
      <c r="A268" s="106">
        <v>4130</v>
      </c>
      <c r="B268" s="107"/>
      <c r="C268" s="108" t="s">
        <v>8</v>
      </c>
      <c r="D268" s="153"/>
      <c r="E268" s="109"/>
      <c r="F268" s="109"/>
      <c r="G268" s="109">
        <v>0</v>
      </c>
      <c r="H268" s="109">
        <v>0</v>
      </c>
      <c r="I268" s="429">
        <f>+E268+F268+G268+H268</f>
        <v>0</v>
      </c>
      <c r="J268" s="109">
        <f>E268+F268+G268+H268-I268</f>
        <v>0</v>
      </c>
      <c r="K268" s="103"/>
    </row>
    <row r="269" spans="1:11" x14ac:dyDescent="0.2">
      <c r="A269" s="114"/>
      <c r="B269" s="115"/>
      <c r="C269" s="154"/>
      <c r="D269" s="157"/>
      <c r="E269" s="113"/>
      <c r="F269" s="113"/>
      <c r="G269" s="113"/>
      <c r="H269" s="113"/>
      <c r="I269" s="113"/>
      <c r="J269" s="113"/>
      <c r="K269" s="110"/>
    </row>
    <row r="270" spans="1:11" x14ac:dyDescent="0.2">
      <c r="A270" s="106">
        <v>4131</v>
      </c>
      <c r="B270" s="107"/>
      <c r="C270" s="108" t="s">
        <v>10</v>
      </c>
      <c r="D270" s="153"/>
      <c r="E270" s="109"/>
      <c r="F270" s="109"/>
      <c r="G270" s="109"/>
      <c r="H270" s="109"/>
      <c r="I270" s="429">
        <f>+E270+F270+G270+H270</f>
        <v>0</v>
      </c>
      <c r="J270" s="109">
        <f>E270+F270+G270+H270-I270</f>
        <v>0</v>
      </c>
      <c r="K270" s="104"/>
    </row>
    <row r="271" spans="1:11" x14ac:dyDescent="0.2">
      <c r="A271" s="114"/>
      <c r="B271" s="115"/>
      <c r="C271" s="154"/>
      <c r="D271" s="157"/>
      <c r="E271" s="113"/>
      <c r="F271" s="113"/>
      <c r="G271" s="113"/>
      <c r="H271" s="113"/>
      <c r="I271" s="113"/>
      <c r="J271" s="113"/>
      <c r="K271" s="87"/>
    </row>
    <row r="272" spans="1:11" x14ac:dyDescent="0.2">
      <c r="A272" s="106">
        <v>4132</v>
      </c>
      <c r="B272" s="107"/>
      <c r="C272" s="108" t="s">
        <v>15</v>
      </c>
      <c r="D272" s="153"/>
      <c r="E272" s="109"/>
      <c r="F272" s="109"/>
      <c r="G272" s="109">
        <v>0</v>
      </c>
      <c r="H272" s="109">
        <v>0</v>
      </c>
      <c r="I272" s="429">
        <v>0</v>
      </c>
      <c r="J272" s="109">
        <f>E272+F272+G272+H272-I272</f>
        <v>0</v>
      </c>
      <c r="K272" s="103"/>
    </row>
    <row r="273" spans="1:11" x14ac:dyDescent="0.2">
      <c r="A273" s="114"/>
      <c r="B273" s="115"/>
      <c r="C273" s="154"/>
      <c r="D273" s="157"/>
      <c r="E273" s="113"/>
      <c r="F273" s="113"/>
      <c r="G273" s="113"/>
      <c r="H273" s="113"/>
      <c r="I273" s="113"/>
      <c r="J273" s="113"/>
      <c r="K273" s="87"/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86"/>
      <c r="J274" s="86"/>
      <c r="K274" s="110"/>
    </row>
    <row r="275" spans="1:11" x14ac:dyDescent="0.2">
      <c r="A275" s="82"/>
      <c r="B275" s="94"/>
      <c r="C275" s="95"/>
      <c r="D275" s="159"/>
      <c r="E275" s="34"/>
      <c r="F275" s="34"/>
      <c r="G275" s="34"/>
      <c r="H275" s="34"/>
      <c r="I275" s="86"/>
      <c r="J275" s="86"/>
      <c r="K275" s="110"/>
    </row>
    <row r="276" spans="1:11" x14ac:dyDescent="0.2">
      <c r="A276" s="106">
        <v>4134</v>
      </c>
      <c r="B276" s="107"/>
      <c r="C276" s="108" t="s">
        <v>840</v>
      </c>
      <c r="D276" s="153"/>
      <c r="E276" s="109"/>
      <c r="F276" s="109"/>
      <c r="G276" s="109"/>
      <c r="H276" s="109"/>
      <c r="I276" s="428">
        <f>+E131</f>
        <v>0</v>
      </c>
      <c r="J276" s="109">
        <f>E276+F276+G276+H276-I276</f>
        <v>0</v>
      </c>
      <c r="K276" s="103"/>
    </row>
    <row r="277" spans="1:11" x14ac:dyDescent="0.2">
      <c r="A277" s="82"/>
      <c r="B277" s="94"/>
      <c r="C277" s="95"/>
      <c r="D277" s="159"/>
      <c r="E277" s="34"/>
      <c r="F277" s="34"/>
      <c r="G277" s="34"/>
      <c r="H277" s="34"/>
      <c r="I277" s="34"/>
      <c r="J277" s="34"/>
      <c r="K277" s="150"/>
    </row>
    <row r="278" spans="1:11" x14ac:dyDescent="0.2">
      <c r="A278" s="82"/>
      <c r="B278" s="94"/>
      <c r="C278" s="95"/>
      <c r="D278" s="145"/>
      <c r="E278" s="34"/>
      <c r="F278" s="34"/>
      <c r="G278" s="34"/>
      <c r="H278" s="34"/>
      <c r="I278" s="34"/>
      <c r="J278" s="34"/>
      <c r="K278" s="105"/>
    </row>
    <row r="279" spans="1:11" x14ac:dyDescent="0.2">
      <c r="A279" s="99">
        <v>414</v>
      </c>
      <c r="B279" s="100"/>
      <c r="C279" s="101" t="s">
        <v>25</v>
      </c>
      <c r="D279" s="149"/>
      <c r="E279" s="31">
        <f>SUM(E280:E283)</f>
        <v>0</v>
      </c>
      <c r="F279" s="31">
        <v>0</v>
      </c>
      <c r="G279" s="31">
        <f>SUM(G280:G283)</f>
        <v>0</v>
      </c>
      <c r="H279" s="31">
        <f>SUM(H280:H283)</f>
        <v>0</v>
      </c>
      <c r="I279" s="31">
        <f>SUM(I280:I283)</f>
        <v>0</v>
      </c>
      <c r="J279" s="31">
        <f>E279+F279+G279+H279-I279</f>
        <v>0</v>
      </c>
      <c r="K279" s="103" t="e">
        <f>J279/J$175*100</f>
        <v>#REF!</v>
      </c>
    </row>
    <row r="280" spans="1:11" x14ac:dyDescent="0.2">
      <c r="A280" s="99">
        <v>4140</v>
      </c>
      <c r="B280" s="100"/>
      <c r="C280" s="101" t="s">
        <v>27</v>
      </c>
      <c r="D280" s="149"/>
      <c r="E280" s="31"/>
      <c r="F280" s="31">
        <v>0</v>
      </c>
      <c r="G280" s="31">
        <v>0</v>
      </c>
      <c r="H280" s="31"/>
      <c r="I280" s="31"/>
      <c r="J280" s="31">
        <f>E280+F280+G280+H280-I280</f>
        <v>0</v>
      </c>
      <c r="K280" s="103" t="e">
        <f>J280/J$175*100</f>
        <v>#REF!</v>
      </c>
    </row>
    <row r="281" spans="1:11" x14ac:dyDescent="0.2">
      <c r="A281" s="99">
        <v>4141</v>
      </c>
      <c r="B281" s="100"/>
      <c r="C281" s="101" t="s">
        <v>29</v>
      </c>
      <c r="D281" s="149"/>
      <c r="E281" s="31"/>
      <c r="F281" s="31">
        <v>0</v>
      </c>
      <c r="G281" s="31">
        <v>0</v>
      </c>
      <c r="H281" s="31"/>
      <c r="I281" s="31"/>
      <c r="J281" s="31">
        <f>E281+F281+G281+H281-I281</f>
        <v>0</v>
      </c>
      <c r="K281" s="103" t="e">
        <f>J281/J$175*100</f>
        <v>#REF!</v>
      </c>
    </row>
    <row r="282" spans="1:11" x14ac:dyDescent="0.2">
      <c r="A282" s="99">
        <v>4142</v>
      </c>
      <c r="B282" s="100"/>
      <c r="C282" s="101" t="s">
        <v>31</v>
      </c>
      <c r="D282" s="149"/>
      <c r="E282" s="31"/>
      <c r="F282" s="31">
        <v>0</v>
      </c>
      <c r="G282" s="31">
        <v>0</v>
      </c>
      <c r="H282" s="31"/>
      <c r="I282" s="31"/>
      <c r="J282" s="31">
        <f>E282+F282+G282+H282-I282</f>
        <v>0</v>
      </c>
      <c r="K282" s="103" t="e">
        <f>J282/J$175*100</f>
        <v>#REF!</v>
      </c>
    </row>
    <row r="283" spans="1:11" x14ac:dyDescent="0.2">
      <c r="A283" s="99">
        <v>4143</v>
      </c>
      <c r="B283" s="100"/>
      <c r="C283" s="101" t="s">
        <v>33</v>
      </c>
      <c r="D283" s="149"/>
      <c r="E283" s="31"/>
      <c r="F283" s="31">
        <v>0</v>
      </c>
      <c r="G283" s="31">
        <v>0</v>
      </c>
      <c r="H283" s="31"/>
      <c r="I283" s="31"/>
      <c r="J283" s="31">
        <f>E283+F283+G283+H283-I283</f>
        <v>0</v>
      </c>
      <c r="K283" s="103" t="e">
        <f>J283/J$175*100</f>
        <v>#REF!</v>
      </c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ht="15.75" x14ac:dyDescent="0.25">
      <c r="A285" s="88">
        <v>42</v>
      </c>
      <c r="B285" s="89"/>
      <c r="C285" s="90" t="s">
        <v>35</v>
      </c>
      <c r="D285" s="146"/>
      <c r="E285" s="32">
        <f>E287</f>
        <v>0</v>
      </c>
      <c r="F285" s="32">
        <f>F287</f>
        <v>0</v>
      </c>
      <c r="G285" s="32">
        <f>G287</f>
        <v>0</v>
      </c>
      <c r="H285" s="32">
        <f>H287</f>
        <v>0</v>
      </c>
      <c r="I285" s="32">
        <f>I287</f>
        <v>0</v>
      </c>
      <c r="J285" s="32">
        <f>E285+F285+G285+H285-I285</f>
        <v>0</v>
      </c>
      <c r="K285" s="92" t="e">
        <f>J285/J$175*100</f>
        <v>#REF!</v>
      </c>
    </row>
    <row r="286" spans="1:11" x14ac:dyDescent="0.2">
      <c r="A286" s="82"/>
      <c r="B286" s="94"/>
      <c r="C286" s="95"/>
      <c r="D286" s="145"/>
      <c r="E286" s="86"/>
      <c r="F286" s="86"/>
      <c r="G286" s="86"/>
      <c r="H286" s="86"/>
      <c r="I286" s="86"/>
      <c r="J286" s="86"/>
      <c r="K286" s="87"/>
    </row>
    <row r="287" spans="1:11" x14ac:dyDescent="0.2">
      <c r="A287" s="99">
        <v>420</v>
      </c>
      <c r="B287" s="100"/>
      <c r="C287" s="101" t="s">
        <v>37</v>
      </c>
      <c r="D287" s="149"/>
      <c r="E287" s="31">
        <f>SUM(E288:E297)</f>
        <v>0</v>
      </c>
      <c r="F287" s="31">
        <f>SUM(F288:F297)</f>
        <v>0</v>
      </c>
      <c r="G287" s="31">
        <f>SUM(G288:G297)</f>
        <v>0</v>
      </c>
      <c r="H287" s="31">
        <f>SUM(H288:H297)</f>
        <v>0</v>
      </c>
      <c r="I287" s="31">
        <f>SUM(I288:I297)</f>
        <v>0</v>
      </c>
      <c r="J287" s="31">
        <f t="shared" ref="J287:J297" si="18">E287+F287+G287+H287-I287</f>
        <v>0</v>
      </c>
      <c r="K287" s="103" t="e">
        <f t="shared" ref="K287:K297" si="19">J287/J$175*100</f>
        <v>#REF!</v>
      </c>
    </row>
    <row r="288" spans="1:11" x14ac:dyDescent="0.2">
      <c r="A288" s="99">
        <v>4200</v>
      </c>
      <c r="B288" s="100"/>
      <c r="C288" s="101" t="s">
        <v>39</v>
      </c>
      <c r="D288" s="149"/>
      <c r="E288" s="31"/>
      <c r="F288" s="31"/>
      <c r="G288" s="31">
        <v>0</v>
      </c>
      <c r="H288" s="31">
        <v>0</v>
      </c>
      <c r="I288" s="31"/>
      <c r="J288" s="31">
        <f t="shared" si="18"/>
        <v>0</v>
      </c>
      <c r="K288" s="103" t="e">
        <f t="shared" si="19"/>
        <v>#REF!</v>
      </c>
    </row>
    <row r="289" spans="1:11" x14ac:dyDescent="0.2">
      <c r="A289" s="99">
        <v>4201</v>
      </c>
      <c r="B289" s="100"/>
      <c r="C289" s="101" t="s">
        <v>41</v>
      </c>
      <c r="D289" s="149"/>
      <c r="E289" s="31"/>
      <c r="F289" s="31"/>
      <c r="G289" s="31">
        <v>0</v>
      </c>
      <c r="H289" s="31">
        <v>0</v>
      </c>
      <c r="I289" s="31"/>
      <c r="J289" s="31">
        <f t="shared" si="18"/>
        <v>0</v>
      </c>
      <c r="K289" s="103" t="e">
        <f t="shared" si="19"/>
        <v>#REF!</v>
      </c>
    </row>
    <row r="290" spans="1:11" x14ac:dyDescent="0.2">
      <c r="A290" s="99">
        <v>4202</v>
      </c>
      <c r="B290" s="100"/>
      <c r="C290" s="101" t="s">
        <v>43</v>
      </c>
      <c r="D290" s="149"/>
      <c r="E290" s="31"/>
      <c r="F290" s="31"/>
      <c r="G290" s="31"/>
      <c r="H290" s="31">
        <v>0</v>
      </c>
      <c r="I290" s="31"/>
      <c r="J290" s="31">
        <f t="shared" si="18"/>
        <v>0</v>
      </c>
      <c r="K290" s="103" t="e">
        <f t="shared" si="19"/>
        <v>#REF!</v>
      </c>
    </row>
    <row r="291" spans="1:11" x14ac:dyDescent="0.2">
      <c r="A291" s="99">
        <v>4203</v>
      </c>
      <c r="B291" s="100"/>
      <c r="C291" s="101" t="s">
        <v>45</v>
      </c>
      <c r="D291" s="149"/>
      <c r="E291" s="31"/>
      <c r="F291" s="31"/>
      <c r="G291" s="31">
        <v>0</v>
      </c>
      <c r="H291" s="31">
        <v>0</v>
      </c>
      <c r="I291" s="31"/>
      <c r="J291" s="31">
        <f t="shared" si="18"/>
        <v>0</v>
      </c>
      <c r="K291" s="103" t="e">
        <f t="shared" si="19"/>
        <v>#REF!</v>
      </c>
    </row>
    <row r="292" spans="1:11" x14ac:dyDescent="0.2">
      <c r="A292" s="99">
        <v>4204</v>
      </c>
      <c r="B292" s="100"/>
      <c r="C292" s="101" t="s">
        <v>47</v>
      </c>
      <c r="D292" s="149"/>
      <c r="E292" s="31"/>
      <c r="F292" s="31"/>
      <c r="G292" s="31">
        <v>0</v>
      </c>
      <c r="H292" s="31">
        <v>0</v>
      </c>
      <c r="I292" s="31"/>
      <c r="J292" s="31">
        <f t="shared" si="18"/>
        <v>0</v>
      </c>
      <c r="K292" s="103" t="e">
        <f t="shared" si="19"/>
        <v>#REF!</v>
      </c>
    </row>
    <row r="293" spans="1:11" x14ac:dyDescent="0.2">
      <c r="A293" s="99">
        <v>4205</v>
      </c>
      <c r="B293" s="100"/>
      <c r="C293" s="101" t="s">
        <v>49</v>
      </c>
      <c r="D293" s="149"/>
      <c r="E293" s="31"/>
      <c r="F293" s="31"/>
      <c r="G293" s="31">
        <v>0</v>
      </c>
      <c r="H293" s="31"/>
      <c r="I293" s="31"/>
      <c r="J293" s="31">
        <f t="shared" si="18"/>
        <v>0</v>
      </c>
      <c r="K293" s="103" t="e">
        <f t="shared" si="19"/>
        <v>#REF!</v>
      </c>
    </row>
    <row r="294" spans="1:11" x14ac:dyDescent="0.2">
      <c r="A294" s="99">
        <v>4206</v>
      </c>
      <c r="B294" s="100"/>
      <c r="C294" s="101" t="s">
        <v>51</v>
      </c>
      <c r="D294" s="149"/>
      <c r="E294" s="31"/>
      <c r="F294" s="31"/>
      <c r="G294" s="31">
        <v>0</v>
      </c>
      <c r="H294" s="31">
        <v>0</v>
      </c>
      <c r="I294" s="31"/>
      <c r="J294" s="31">
        <f t="shared" si="18"/>
        <v>0</v>
      </c>
      <c r="K294" s="103" t="e">
        <f t="shared" si="19"/>
        <v>#REF!</v>
      </c>
    </row>
    <row r="295" spans="1:11" x14ac:dyDescent="0.2">
      <c r="A295" s="99">
        <v>4207</v>
      </c>
      <c r="B295" s="100"/>
      <c r="C295" s="101" t="s">
        <v>53</v>
      </c>
      <c r="D295" s="149"/>
      <c r="E295" s="31"/>
      <c r="F295" s="31"/>
      <c r="G295" s="31">
        <v>0</v>
      </c>
      <c r="H295" s="31">
        <v>0</v>
      </c>
      <c r="I295" s="31"/>
      <c r="J295" s="31">
        <f t="shared" si="18"/>
        <v>0</v>
      </c>
      <c r="K295" s="103" t="e">
        <f t="shared" si="19"/>
        <v>#REF!</v>
      </c>
    </row>
    <row r="296" spans="1:11" x14ac:dyDescent="0.2">
      <c r="A296" s="99">
        <v>4208</v>
      </c>
      <c r="B296" s="100"/>
      <c r="C296" s="101" t="s">
        <v>55</v>
      </c>
      <c r="D296" s="149"/>
      <c r="E296" s="31"/>
      <c r="F296" s="31"/>
      <c r="G296" s="31">
        <v>0</v>
      </c>
      <c r="H296" s="31">
        <v>0</v>
      </c>
      <c r="I296" s="31"/>
      <c r="J296" s="31">
        <f t="shared" si="18"/>
        <v>0</v>
      </c>
      <c r="K296" s="103" t="e">
        <f t="shared" si="19"/>
        <v>#REF!</v>
      </c>
    </row>
    <row r="297" spans="1:11" x14ac:dyDescent="0.2">
      <c r="A297" s="99">
        <v>4209</v>
      </c>
      <c r="B297" s="100"/>
      <c r="C297" s="101" t="s">
        <v>57</v>
      </c>
      <c r="D297" s="149"/>
      <c r="E297" s="31"/>
      <c r="F297" s="31"/>
      <c r="G297" s="31">
        <v>0</v>
      </c>
      <c r="H297" s="31">
        <v>0</v>
      </c>
      <c r="I297" s="31"/>
      <c r="J297" s="31">
        <f t="shared" si="18"/>
        <v>0</v>
      </c>
      <c r="K297" s="103" t="e">
        <f t="shared" si="19"/>
        <v>#REF!</v>
      </c>
    </row>
    <row r="298" spans="1:11" x14ac:dyDescent="0.2">
      <c r="A298" s="82"/>
      <c r="B298" s="94"/>
      <c r="C298" s="95"/>
      <c r="D298" s="145"/>
      <c r="E298" s="34"/>
      <c r="F298" s="34"/>
      <c r="G298" s="34"/>
      <c r="H298" s="34"/>
      <c r="I298" s="34"/>
      <c r="J298" s="34"/>
      <c r="K298" s="105"/>
    </row>
    <row r="299" spans="1:11" ht="15.75" x14ac:dyDescent="0.25">
      <c r="A299" s="88">
        <v>43</v>
      </c>
      <c r="B299" s="89"/>
      <c r="C299" s="90" t="s">
        <v>59</v>
      </c>
      <c r="D299" s="146"/>
      <c r="E299" s="32">
        <f>E301</f>
        <v>0</v>
      </c>
      <c r="F299" s="32">
        <f>F301</f>
        <v>0</v>
      </c>
      <c r="G299" s="32">
        <f>G301</f>
        <v>0</v>
      </c>
      <c r="H299" s="32">
        <f>H301</f>
        <v>0</v>
      </c>
      <c r="I299" s="32">
        <f>I301</f>
        <v>0</v>
      </c>
      <c r="J299" s="32">
        <f>E299+F299+G299+H299-I299</f>
        <v>0</v>
      </c>
      <c r="K299" s="92" t="e">
        <f>J299/J$175*100</f>
        <v>#REF!</v>
      </c>
    </row>
    <row r="300" spans="1:11" x14ac:dyDescent="0.2">
      <c r="A300" s="82"/>
      <c r="B300" s="94"/>
      <c r="C300" s="95"/>
      <c r="D300" s="145"/>
      <c r="E300" s="86"/>
      <c r="F300" s="86"/>
      <c r="G300" s="86"/>
      <c r="H300" s="86"/>
      <c r="I300" s="86"/>
      <c r="J300" s="86"/>
      <c r="K300" s="87"/>
    </row>
    <row r="301" spans="1:11" x14ac:dyDescent="0.2">
      <c r="A301" s="99">
        <v>430</v>
      </c>
      <c r="B301" s="100"/>
      <c r="C301" s="101" t="s">
        <v>61</v>
      </c>
      <c r="D301" s="149"/>
      <c r="E301" s="31">
        <f>SUM(E303:E311)</f>
        <v>0</v>
      </c>
      <c r="F301" s="31">
        <f>SUM(F303:F311)</f>
        <v>0</v>
      </c>
      <c r="G301" s="31">
        <v>0</v>
      </c>
      <c r="H301" s="31">
        <f>SUM(H303:H311)</f>
        <v>0</v>
      </c>
      <c r="I301" s="31">
        <f>SUM(I303:I311)</f>
        <v>0</v>
      </c>
      <c r="J301" s="31">
        <f>E301+F301+G301+H301-I301</f>
        <v>0</v>
      </c>
      <c r="K301" s="103" t="e">
        <f>J301/J$175*100</f>
        <v>#REF!</v>
      </c>
    </row>
    <row r="302" spans="1:11" x14ac:dyDescent="0.2">
      <c r="A302" s="82"/>
      <c r="B302" s="94"/>
      <c r="C302" s="95"/>
      <c r="D302" s="145"/>
      <c r="E302" s="34"/>
      <c r="F302" s="34"/>
      <c r="G302" s="34"/>
      <c r="H302" s="34"/>
      <c r="I302" s="34"/>
      <c r="J302" s="34"/>
      <c r="K302" s="105"/>
    </row>
    <row r="303" spans="1:11" x14ac:dyDescent="0.2">
      <c r="A303" s="106">
        <v>4300</v>
      </c>
      <c r="B303" s="107"/>
      <c r="C303" s="108" t="s">
        <v>62</v>
      </c>
      <c r="D303" s="153"/>
      <c r="E303" s="109"/>
      <c r="F303" s="109"/>
      <c r="G303" s="109">
        <v>0</v>
      </c>
      <c r="H303" s="109">
        <v>0</v>
      </c>
      <c r="I303" s="429">
        <f>+E303+F303</f>
        <v>0</v>
      </c>
      <c r="J303" s="109">
        <f>E303+F303+G303+H303-I303</f>
        <v>0</v>
      </c>
      <c r="K303" s="103" t="e">
        <f>J303/J$175*100</f>
        <v>#REF!</v>
      </c>
    </row>
    <row r="304" spans="1:11" x14ac:dyDescent="0.2">
      <c r="A304" s="99">
        <v>4301</v>
      </c>
      <c r="B304" s="100"/>
      <c r="C304" s="101" t="s">
        <v>65</v>
      </c>
      <c r="D304" s="149"/>
      <c r="E304" s="31"/>
      <c r="F304" s="31"/>
      <c r="G304" s="31">
        <v>0</v>
      </c>
      <c r="H304" s="31">
        <v>0</v>
      </c>
      <c r="I304" s="31"/>
      <c r="J304" s="31">
        <f t="shared" ref="J304:J311" si="20">E304+F304+G304+H304</f>
        <v>0</v>
      </c>
      <c r="K304" s="103" t="e">
        <f t="shared" ref="K304:K315" si="21">J304/J$175*100</f>
        <v>#REF!</v>
      </c>
    </row>
    <row r="305" spans="1:11" x14ac:dyDescent="0.2">
      <c r="A305" s="99">
        <v>4302</v>
      </c>
      <c r="B305" s="100"/>
      <c r="C305" s="101" t="s">
        <v>67</v>
      </c>
      <c r="D305" s="149"/>
      <c r="E305" s="31"/>
      <c r="F305" s="31"/>
      <c r="G305" s="31">
        <v>0</v>
      </c>
      <c r="H305" s="31">
        <v>0</v>
      </c>
      <c r="I305" s="31"/>
      <c r="J305" s="31">
        <f t="shared" si="20"/>
        <v>0</v>
      </c>
      <c r="K305" s="103" t="e">
        <f t="shared" si="21"/>
        <v>#REF!</v>
      </c>
    </row>
    <row r="306" spans="1:11" x14ac:dyDescent="0.2">
      <c r="A306" s="99">
        <v>4303</v>
      </c>
      <c r="B306" s="100"/>
      <c r="C306" s="101" t="s">
        <v>69</v>
      </c>
      <c r="D306" s="149"/>
      <c r="E306" s="31"/>
      <c r="F306" s="31"/>
      <c r="G306" s="31">
        <v>0</v>
      </c>
      <c r="H306" s="31">
        <v>0</v>
      </c>
      <c r="I306" s="31"/>
      <c r="J306" s="31">
        <f t="shared" si="20"/>
        <v>0</v>
      </c>
      <c r="K306" s="103" t="e">
        <f t="shared" si="21"/>
        <v>#REF!</v>
      </c>
    </row>
    <row r="307" spans="1:11" x14ac:dyDescent="0.2">
      <c r="A307" s="99">
        <v>4304</v>
      </c>
      <c r="B307" s="100"/>
      <c r="C307" s="101" t="s">
        <v>71</v>
      </c>
      <c r="D307" s="149"/>
      <c r="E307" s="31"/>
      <c r="F307" s="31"/>
      <c r="G307" s="31">
        <v>0</v>
      </c>
      <c r="H307" s="31">
        <v>0</v>
      </c>
      <c r="I307" s="31"/>
      <c r="J307" s="31">
        <f t="shared" si="20"/>
        <v>0</v>
      </c>
      <c r="K307" s="103" t="e">
        <f t="shared" si="21"/>
        <v>#REF!</v>
      </c>
    </row>
    <row r="308" spans="1:11" x14ac:dyDescent="0.2">
      <c r="A308" s="99">
        <v>4305</v>
      </c>
      <c r="B308" s="100"/>
      <c r="C308" s="101" t="s">
        <v>73</v>
      </c>
      <c r="D308" s="149"/>
      <c r="E308" s="31"/>
      <c r="F308" s="31"/>
      <c r="G308" s="31">
        <v>0</v>
      </c>
      <c r="H308" s="31">
        <v>0</v>
      </c>
      <c r="I308" s="31"/>
      <c r="J308" s="31">
        <f t="shared" si="20"/>
        <v>0</v>
      </c>
      <c r="K308" s="103" t="e">
        <f t="shared" si="21"/>
        <v>#REF!</v>
      </c>
    </row>
    <row r="309" spans="1:11" x14ac:dyDescent="0.2">
      <c r="A309" s="99">
        <v>4306</v>
      </c>
      <c r="B309" s="100"/>
      <c r="C309" s="101" t="s">
        <v>75</v>
      </c>
      <c r="D309" s="149"/>
      <c r="E309" s="31"/>
      <c r="F309" s="31"/>
      <c r="G309" s="31">
        <v>0</v>
      </c>
      <c r="H309" s="31">
        <v>0</v>
      </c>
      <c r="I309" s="31"/>
      <c r="J309" s="31">
        <f t="shared" si="20"/>
        <v>0</v>
      </c>
      <c r="K309" s="103" t="e">
        <f t="shared" si="21"/>
        <v>#REF!</v>
      </c>
    </row>
    <row r="310" spans="1:11" x14ac:dyDescent="0.2">
      <c r="A310" s="99">
        <v>4307</v>
      </c>
      <c r="B310" s="100"/>
      <c r="C310" s="101" t="s">
        <v>77</v>
      </c>
      <c r="D310" s="149"/>
      <c r="E310" s="31"/>
      <c r="F310" s="31"/>
      <c r="G310" s="31">
        <v>0</v>
      </c>
      <c r="H310" s="31">
        <v>0</v>
      </c>
      <c r="I310" s="31"/>
      <c r="J310" s="31">
        <f t="shared" si="20"/>
        <v>0</v>
      </c>
      <c r="K310" s="103" t="e">
        <f t="shared" si="21"/>
        <v>#REF!</v>
      </c>
    </row>
    <row r="311" spans="1:11" x14ac:dyDescent="0.2">
      <c r="A311" s="99">
        <v>4308</v>
      </c>
      <c r="B311" s="100"/>
      <c r="C311" s="101" t="s">
        <v>79</v>
      </c>
      <c r="D311" s="149"/>
      <c r="E311" s="31"/>
      <c r="F311" s="31"/>
      <c r="G311" s="31">
        <v>0</v>
      </c>
      <c r="H311" s="31">
        <v>0</v>
      </c>
      <c r="I311" s="31"/>
      <c r="J311" s="31">
        <f t="shared" si="20"/>
        <v>0</v>
      </c>
      <c r="K311" s="103" t="e">
        <f t="shared" si="21"/>
        <v>#REF!</v>
      </c>
    </row>
    <row r="312" spans="1:11" x14ac:dyDescent="0.2">
      <c r="A312" s="204"/>
      <c r="B312" s="205"/>
      <c r="C312" s="206"/>
      <c r="D312" s="424"/>
      <c r="E312" s="383"/>
      <c r="F312" s="383"/>
      <c r="G312" s="383"/>
      <c r="H312" s="383"/>
      <c r="I312" s="383"/>
      <c r="J312" s="383"/>
      <c r="K312" s="425"/>
    </row>
    <row r="313" spans="1:11" ht="15.75" x14ac:dyDescent="0.25">
      <c r="A313" s="88">
        <v>45</v>
      </c>
      <c r="B313" s="89"/>
      <c r="C313" s="90" t="s">
        <v>913</v>
      </c>
      <c r="D313" s="146"/>
      <c r="E313" s="32">
        <f>+E315</f>
        <v>0</v>
      </c>
      <c r="F313" s="32">
        <f>+F315</f>
        <v>0</v>
      </c>
      <c r="G313" s="32">
        <f>+G315</f>
        <v>0</v>
      </c>
      <c r="H313" s="32">
        <f>+H315</f>
        <v>0</v>
      </c>
      <c r="I313" s="32">
        <f>+I315</f>
        <v>0</v>
      </c>
      <c r="J313" s="32">
        <f>+E313+F313+G313+H313-I313</f>
        <v>0</v>
      </c>
      <c r="K313" s="92" t="e">
        <f t="shared" si="21"/>
        <v>#REF!</v>
      </c>
    </row>
    <row r="314" spans="1:11" x14ac:dyDescent="0.2">
      <c r="A314" s="204"/>
      <c r="B314" s="205"/>
      <c r="C314" s="206"/>
      <c r="D314" s="424"/>
      <c r="E314" s="383"/>
      <c r="F314" s="383"/>
      <c r="G314" s="383"/>
      <c r="H314" s="383"/>
      <c r="I314" s="383"/>
      <c r="J314" s="383"/>
      <c r="K314" s="425"/>
    </row>
    <row r="315" spans="1:11" x14ac:dyDescent="0.2">
      <c r="A315" s="204">
        <v>450</v>
      </c>
      <c r="B315" s="205"/>
      <c r="C315" s="206" t="s">
        <v>914</v>
      </c>
      <c r="D315" s="424"/>
      <c r="E315" s="383">
        <f>+E316+E321+E324+E327</f>
        <v>0</v>
      </c>
      <c r="F315" s="383">
        <f>+F316+F321+F324+F327</f>
        <v>0</v>
      </c>
      <c r="G315" s="383">
        <f>+G316+G321+G324+G327</f>
        <v>0</v>
      </c>
      <c r="H315" s="383">
        <f>+H316+H321+H324+H327</f>
        <v>0</v>
      </c>
      <c r="I315" s="383">
        <f>+I316+I321+I324+I327</f>
        <v>0</v>
      </c>
      <c r="J315" s="383">
        <f>+E315+F315+G315+H315-I315</f>
        <v>0</v>
      </c>
      <c r="K315" s="103" t="e">
        <f t="shared" si="21"/>
        <v>#REF!</v>
      </c>
    </row>
    <row r="316" spans="1:11" x14ac:dyDescent="0.2">
      <c r="A316" s="204">
        <v>4500</v>
      </c>
      <c r="B316" s="205"/>
      <c r="C316" s="206" t="s">
        <v>915</v>
      </c>
      <c r="D316" s="424"/>
      <c r="E316" s="383">
        <f>+E317+E318+E319</f>
        <v>0</v>
      </c>
      <c r="F316" s="383">
        <f>+F317+F318+F319</f>
        <v>0</v>
      </c>
      <c r="G316" s="383">
        <f>+G317+G318+G319</f>
        <v>0</v>
      </c>
      <c r="H316" s="383">
        <f>+H317+H318+H319</f>
        <v>0</v>
      </c>
      <c r="I316" s="383">
        <f>+I317+I318+I319</f>
        <v>0</v>
      </c>
      <c r="J316" s="383"/>
      <c r="K316" s="425"/>
    </row>
    <row r="317" spans="1:11" x14ac:dyDescent="0.2">
      <c r="A317" s="204">
        <v>450000</v>
      </c>
      <c r="B317" s="205"/>
      <c r="C317" s="206" t="s">
        <v>916</v>
      </c>
      <c r="D317" s="424"/>
      <c r="E317" s="383"/>
      <c r="F317" s="383"/>
      <c r="G317" s="383"/>
      <c r="H317" s="383"/>
      <c r="I317" s="383"/>
      <c r="J317" s="383"/>
      <c r="K317" s="425"/>
    </row>
    <row r="318" spans="1:11" x14ac:dyDescent="0.2">
      <c r="A318" s="204">
        <v>450001</v>
      </c>
      <c r="B318" s="205"/>
      <c r="C318" s="206" t="s">
        <v>917</v>
      </c>
      <c r="D318" s="424"/>
      <c r="E318" s="383"/>
      <c r="F318" s="383"/>
      <c r="G318" s="383"/>
      <c r="H318" s="383"/>
      <c r="I318" s="383"/>
      <c r="J318" s="383"/>
      <c r="K318" s="425"/>
    </row>
    <row r="319" spans="1:11" x14ac:dyDescent="0.2">
      <c r="A319" s="204">
        <v>450002</v>
      </c>
      <c r="B319" s="205"/>
      <c r="C319" s="206" t="s">
        <v>918</v>
      </c>
      <c r="D319" s="424"/>
      <c r="E319" s="383"/>
      <c r="F319" s="383"/>
      <c r="G319" s="383"/>
      <c r="H319" s="383"/>
      <c r="I319" s="383"/>
      <c r="J319" s="383"/>
      <c r="K319" s="425"/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4501</v>
      </c>
      <c r="B321" s="205"/>
      <c r="C321" s="206" t="s">
        <v>919</v>
      </c>
      <c r="D321" s="424"/>
      <c r="E321" s="383">
        <f>+E322</f>
        <v>0</v>
      </c>
      <c r="F321" s="383">
        <f>+F322</f>
        <v>0</v>
      </c>
      <c r="G321" s="383">
        <f>+G322</f>
        <v>0</v>
      </c>
      <c r="H321" s="383">
        <f>+H322</f>
        <v>0</v>
      </c>
      <c r="I321" s="383">
        <f>+I322</f>
        <v>0</v>
      </c>
      <c r="J321" s="383">
        <f>+E321+F321+G321+H321-I321</f>
        <v>0</v>
      </c>
      <c r="K321" s="103" t="e">
        <f>J321/J$175*100</f>
        <v>#REF!</v>
      </c>
    </row>
    <row r="322" spans="1:11" x14ac:dyDescent="0.2">
      <c r="A322" s="204">
        <v>450100</v>
      </c>
      <c r="B322" s="205"/>
      <c r="C322" s="206" t="s">
        <v>920</v>
      </c>
      <c r="D322" s="424"/>
      <c r="E322" s="383"/>
      <c r="F322" s="383"/>
      <c r="G322" s="383"/>
      <c r="H322" s="383"/>
      <c r="I322" s="383"/>
      <c r="J322" s="383"/>
      <c r="K322" s="425"/>
    </row>
    <row r="323" spans="1:11" x14ac:dyDescent="0.2">
      <c r="A323" s="204"/>
      <c r="B323" s="205"/>
      <c r="C323" s="206"/>
      <c r="D323" s="424"/>
      <c r="E323" s="383"/>
      <c r="F323" s="383"/>
      <c r="G323" s="383"/>
      <c r="H323" s="383"/>
      <c r="I323" s="383"/>
      <c r="J323" s="383"/>
      <c r="K323" s="425"/>
    </row>
    <row r="324" spans="1:11" x14ac:dyDescent="0.2">
      <c r="A324" s="204">
        <v>4502</v>
      </c>
      <c r="B324" s="205"/>
      <c r="C324" s="206" t="s">
        <v>921</v>
      </c>
      <c r="D324" s="424"/>
      <c r="E324" s="383">
        <f>+E325</f>
        <v>0</v>
      </c>
      <c r="F324" s="383">
        <f>+F325</f>
        <v>0</v>
      </c>
      <c r="G324" s="383">
        <f>+G325</f>
        <v>0</v>
      </c>
      <c r="H324" s="383">
        <f>+H325</f>
        <v>0</v>
      </c>
      <c r="I324" s="383">
        <f>+I325</f>
        <v>0</v>
      </c>
      <c r="J324" s="383">
        <f>+E324+F324+G324+H324-I324</f>
        <v>0</v>
      </c>
      <c r="K324" s="103" t="e">
        <f>J324/J$175*100</f>
        <v>#REF!</v>
      </c>
    </row>
    <row r="325" spans="1:11" x14ac:dyDescent="0.2">
      <c r="A325" s="204">
        <v>450200</v>
      </c>
      <c r="B325" s="205"/>
      <c r="C325" s="206" t="s">
        <v>922</v>
      </c>
      <c r="D325" s="424"/>
      <c r="E325" s="383"/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4503</v>
      </c>
      <c r="B327" s="205"/>
      <c r="C327" s="206" t="s">
        <v>923</v>
      </c>
      <c r="D327" s="424"/>
      <c r="E327" s="383">
        <f>+E328</f>
        <v>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0</v>
      </c>
      <c r="K327" s="103" t="e">
        <f>J327/J$175*100</f>
        <v>#REF!</v>
      </c>
    </row>
    <row r="328" spans="1:11" x14ac:dyDescent="0.2">
      <c r="A328" s="204">
        <v>450300</v>
      </c>
      <c r="B328" s="205"/>
      <c r="C328" s="206" t="s">
        <v>924</v>
      </c>
      <c r="D328" s="424"/>
      <c r="E328" s="383"/>
      <c r="F328" s="383"/>
      <c r="G328" s="383"/>
      <c r="H328" s="383"/>
      <c r="I328" s="383"/>
      <c r="J328" s="383"/>
      <c r="K328" s="425"/>
    </row>
    <row r="329" spans="1:11" ht="15.75" thickBot="1" x14ac:dyDescent="0.25">
      <c r="A329" s="120"/>
      <c r="B329" s="121"/>
      <c r="C329" s="122"/>
      <c r="D329" s="160"/>
      <c r="E329" s="161"/>
      <c r="F329" s="161"/>
      <c r="G329" s="161"/>
      <c r="H329" s="161"/>
      <c r="I329" s="161"/>
      <c r="J329" s="161"/>
      <c r="K329" s="162"/>
    </row>
    <row r="330" spans="1:11" ht="15.75" thickTop="1" x14ac:dyDescent="0.2">
      <c r="A330" s="135"/>
      <c r="B330" s="136"/>
      <c r="C330" s="137"/>
      <c r="D330" s="163"/>
      <c r="E330" s="164"/>
      <c r="F330" s="164"/>
      <c r="G330" s="164"/>
      <c r="H330" s="164"/>
      <c r="I330" s="164"/>
      <c r="J330" s="164"/>
      <c r="K330" s="165"/>
    </row>
    <row r="331" spans="1:11" ht="15.75" thickBot="1" x14ac:dyDescent="0.25">
      <c r="A331" s="82"/>
      <c r="B331" s="94"/>
      <c r="C331" s="95"/>
      <c r="D331" s="145"/>
      <c r="E331" s="34"/>
      <c r="F331" s="34"/>
      <c r="G331" s="34"/>
      <c r="H331" s="34"/>
      <c r="I331" s="34"/>
      <c r="J331" s="34"/>
      <c r="K331" s="166"/>
    </row>
    <row r="332" spans="1:11" ht="17.25" thickTop="1" thickBot="1" x14ac:dyDescent="0.3">
      <c r="A332" s="69" t="s">
        <v>83</v>
      </c>
      <c r="B332" s="70"/>
      <c r="C332" s="77" t="s">
        <v>828</v>
      </c>
      <c r="D332" s="142"/>
      <c r="E332" s="73">
        <f t="shared" ref="E332:J332" si="22">E22-E178</f>
        <v>0</v>
      </c>
      <c r="F332" s="73">
        <f t="shared" si="22"/>
        <v>0</v>
      </c>
      <c r="G332" s="73">
        <f t="shared" si="22"/>
        <v>0</v>
      </c>
      <c r="H332" s="73">
        <f t="shared" si="22"/>
        <v>0</v>
      </c>
      <c r="I332" s="73">
        <f t="shared" si="22"/>
        <v>0</v>
      </c>
      <c r="J332" s="167">
        <f t="shared" si="22"/>
        <v>0</v>
      </c>
      <c r="K332" s="76" t="e">
        <f>J332/J$175*100</f>
        <v>#REF!</v>
      </c>
    </row>
    <row r="333" spans="1:11" ht="16.5" thickTop="1" x14ac:dyDescent="0.25">
      <c r="A333" s="69"/>
      <c r="B333" s="70"/>
      <c r="C333" s="71" t="s">
        <v>829</v>
      </c>
      <c r="D333" s="142"/>
      <c r="E333" s="168" t="e">
        <f>+E332/$J$175*100</f>
        <v>#REF!</v>
      </c>
      <c r="F333" s="168" t="e">
        <f>+F332/$J$175*100</f>
        <v>#REF!</v>
      </c>
      <c r="G333" s="168" t="e">
        <f>+G332/$J$175*100</f>
        <v>#REF!</v>
      </c>
      <c r="H333" s="168" t="e">
        <f>+H332/$J$175*100</f>
        <v>#REF!</v>
      </c>
      <c r="I333" s="32"/>
      <c r="J333" s="32"/>
      <c r="K333" s="144"/>
    </row>
    <row r="334" spans="1:11" ht="15.75" x14ac:dyDescent="0.25">
      <c r="A334" s="88"/>
      <c r="B334" s="89"/>
      <c r="C334" s="90" t="s">
        <v>88</v>
      </c>
      <c r="D334" s="146"/>
      <c r="E334" s="48"/>
      <c r="F334" s="48"/>
      <c r="G334" s="48"/>
      <c r="H334" s="48"/>
      <c r="I334" s="32"/>
      <c r="J334" s="32"/>
      <c r="K334" s="257"/>
    </row>
    <row r="335" spans="1:11" ht="15.75" x14ac:dyDescent="0.25">
      <c r="A335" s="88"/>
      <c r="B335" s="89"/>
      <c r="C335" s="246" t="s">
        <v>864</v>
      </c>
      <c r="D335" s="146"/>
      <c r="E335" s="32"/>
      <c r="F335" s="32"/>
      <c r="G335" s="32"/>
      <c r="H335" s="32"/>
      <c r="I335" s="32"/>
      <c r="J335" s="32"/>
      <c r="K335" s="93"/>
    </row>
    <row r="336" spans="1:11" ht="15.75" thickBot="1" x14ac:dyDescent="0.25">
      <c r="A336" s="169"/>
      <c r="B336" s="170"/>
      <c r="C336" s="171"/>
      <c r="D336" s="160"/>
      <c r="E336" s="161"/>
      <c r="F336" s="161"/>
      <c r="G336" s="161"/>
      <c r="H336" s="161"/>
      <c r="I336" s="161"/>
      <c r="J336" s="161"/>
      <c r="K336" s="166"/>
    </row>
    <row r="337" spans="1:11" ht="15.75" thickTop="1" x14ac:dyDescent="0.2">
      <c r="A337" s="61"/>
      <c r="B337" s="62"/>
      <c r="C337" s="172"/>
      <c r="D337" s="173"/>
      <c r="E337" s="66"/>
      <c r="F337" s="66"/>
      <c r="G337" s="66"/>
      <c r="H337" s="66"/>
      <c r="I337" s="66"/>
      <c r="J337" s="66"/>
      <c r="K337" s="174"/>
    </row>
    <row r="338" spans="1:11" ht="15.75" x14ac:dyDescent="0.25">
      <c r="A338" s="69" t="s">
        <v>90</v>
      </c>
      <c r="B338" s="70"/>
      <c r="C338" s="77" t="s">
        <v>91</v>
      </c>
      <c r="D338" s="142"/>
      <c r="E338" s="73">
        <f t="shared" ref="E338:J338" si="23">(E22-E81)-(E178-E223-E230)</f>
        <v>0</v>
      </c>
      <c r="F338" s="73">
        <f t="shared" si="23"/>
        <v>0</v>
      </c>
      <c r="G338" s="73">
        <f t="shared" si="23"/>
        <v>0</v>
      </c>
      <c r="H338" s="73">
        <f t="shared" si="23"/>
        <v>0</v>
      </c>
      <c r="I338" s="73">
        <f t="shared" si="23"/>
        <v>0</v>
      </c>
      <c r="J338" s="73">
        <f t="shared" si="23"/>
        <v>0</v>
      </c>
      <c r="K338" s="92" t="e">
        <f>J338/J$175*100</f>
        <v>#REF!</v>
      </c>
    </row>
    <row r="339" spans="1:11" ht="15.75" x14ac:dyDescent="0.25">
      <c r="A339" s="69"/>
      <c r="B339" s="70"/>
      <c r="C339" s="77" t="s">
        <v>93</v>
      </c>
      <c r="D339" s="142"/>
      <c r="E339" s="73"/>
      <c r="F339" s="73"/>
      <c r="G339" s="73"/>
      <c r="H339" s="73"/>
      <c r="I339" s="73"/>
      <c r="J339" s="175"/>
      <c r="K339" s="93"/>
    </row>
    <row r="340" spans="1:11" ht="15.75" x14ac:dyDescent="0.25">
      <c r="A340" s="88"/>
      <c r="B340" s="89"/>
      <c r="C340" s="90" t="s">
        <v>95</v>
      </c>
      <c r="D340" s="146"/>
      <c r="E340" s="32"/>
      <c r="F340" s="32"/>
      <c r="G340" s="32"/>
      <c r="H340" s="32"/>
      <c r="I340" s="32"/>
      <c r="J340" s="29"/>
      <c r="K340" s="93"/>
    </row>
    <row r="341" spans="1:11" ht="15.75" thickBot="1" x14ac:dyDescent="0.25">
      <c r="A341" s="120"/>
      <c r="B341" s="121"/>
      <c r="C341" s="122"/>
      <c r="D341" s="160"/>
      <c r="E341" s="124"/>
      <c r="F341" s="124"/>
      <c r="G341" s="124"/>
      <c r="H341" s="124"/>
      <c r="I341" s="124"/>
      <c r="J341" s="124"/>
      <c r="K341" s="125"/>
    </row>
    <row r="342" spans="1:11" ht="15.75" thickTop="1" x14ac:dyDescent="0.2">
      <c r="A342" s="61"/>
      <c r="B342" s="62"/>
      <c r="C342" s="172"/>
      <c r="D342" s="173"/>
      <c r="E342" s="176"/>
      <c r="F342" s="176"/>
      <c r="G342" s="176"/>
      <c r="H342" s="176"/>
      <c r="I342" s="176"/>
      <c r="J342" s="176"/>
      <c r="K342" s="177"/>
    </row>
    <row r="343" spans="1:11" ht="15.75" x14ac:dyDescent="0.25">
      <c r="A343" s="69" t="s">
        <v>96</v>
      </c>
      <c r="B343" s="70"/>
      <c r="C343" s="77" t="s">
        <v>97</v>
      </c>
      <c r="D343" s="142"/>
      <c r="E343" s="73">
        <f t="shared" ref="E343:J343" si="24">E25-(E181+E243)</f>
        <v>0</v>
      </c>
      <c r="F343" s="73">
        <f t="shared" si="24"/>
        <v>0</v>
      </c>
      <c r="G343" s="73">
        <f t="shared" si="24"/>
        <v>0</v>
      </c>
      <c r="H343" s="73">
        <f t="shared" si="24"/>
        <v>0</v>
      </c>
      <c r="I343" s="73">
        <f t="shared" si="24"/>
        <v>0</v>
      </c>
      <c r="J343" s="73">
        <f t="shared" si="24"/>
        <v>0</v>
      </c>
      <c r="K343" s="92" t="e">
        <f>J343/J$175*100</f>
        <v>#REF!</v>
      </c>
    </row>
    <row r="344" spans="1:11" ht="15.75" x14ac:dyDescent="0.25">
      <c r="A344" s="69"/>
      <c r="B344" s="70"/>
      <c r="C344" s="77" t="s">
        <v>93</v>
      </c>
      <c r="D344" s="142"/>
      <c r="E344" s="73"/>
      <c r="F344" s="73"/>
      <c r="G344" s="73"/>
      <c r="H344" s="73"/>
      <c r="I344" s="73"/>
      <c r="J344" s="73"/>
      <c r="K344" s="93"/>
    </row>
    <row r="345" spans="1:11" ht="15.75" x14ac:dyDescent="0.25">
      <c r="A345" s="88"/>
      <c r="B345" s="89"/>
      <c r="C345" s="90" t="s">
        <v>99</v>
      </c>
      <c r="D345" s="146"/>
      <c r="E345" s="32"/>
      <c r="F345" s="32"/>
      <c r="G345" s="32"/>
      <c r="H345" s="32"/>
      <c r="I345" s="32"/>
      <c r="J345" s="29"/>
      <c r="K345" s="93"/>
    </row>
    <row r="346" spans="1:11" ht="15.75" thickBot="1" x14ac:dyDescent="0.25">
      <c r="A346" s="178"/>
      <c r="B346" s="179"/>
      <c r="C346" s="180"/>
      <c r="D346" s="181"/>
      <c r="E346" s="182"/>
      <c r="F346" s="182"/>
      <c r="G346" s="182"/>
      <c r="H346" s="182"/>
      <c r="I346" s="182"/>
      <c r="J346" s="182"/>
      <c r="K346" s="183"/>
    </row>
    <row r="347" spans="1:11" ht="15.75" thickTop="1" x14ac:dyDescent="0.2">
      <c r="A347" s="184"/>
      <c r="B347" s="184"/>
      <c r="C347" s="56"/>
      <c r="D347" s="185"/>
      <c r="E347" s="186"/>
      <c r="F347" s="186"/>
      <c r="G347" s="186"/>
      <c r="H347" s="186"/>
      <c r="I347" s="186"/>
      <c r="J347" s="186"/>
      <c r="K347" s="186"/>
    </row>
    <row r="348" spans="1:11" x14ac:dyDescent="0.2">
      <c r="A348" s="53"/>
      <c r="B348" s="53"/>
      <c r="C348" s="54"/>
      <c r="D348" s="187"/>
      <c r="E348" s="188"/>
      <c r="F348" s="188"/>
      <c r="G348" s="188"/>
      <c r="H348" s="188"/>
      <c r="I348" s="188"/>
      <c r="J348" s="188"/>
      <c r="K348" s="51"/>
    </row>
    <row r="349" spans="1:11" x14ac:dyDescent="0.2">
      <c r="A349" s="53"/>
      <c r="B349" s="53"/>
      <c r="C349" s="54"/>
      <c r="D349" s="187"/>
      <c r="E349" s="188"/>
      <c r="F349" s="188"/>
      <c r="G349" s="188"/>
      <c r="H349" s="188"/>
      <c r="I349" s="188"/>
      <c r="J349" s="188"/>
      <c r="K349" s="51"/>
    </row>
    <row r="350" spans="1:11" ht="23.25" x14ac:dyDescent="0.35">
      <c r="A350" s="201"/>
      <c r="B350" s="237" t="s">
        <v>841</v>
      </c>
      <c r="C350" s="239" t="s">
        <v>842</v>
      </c>
      <c r="D350" s="239" t="s">
        <v>843</v>
      </c>
      <c r="E350" s="237"/>
      <c r="F350" s="240"/>
      <c r="G350" s="264"/>
      <c r="H350" s="264"/>
      <c r="I350" s="381"/>
      <c r="J350" s="381"/>
      <c r="K350" s="9"/>
    </row>
    <row r="351" spans="1:11" x14ac:dyDescent="0.2">
      <c r="A351" s="53"/>
      <c r="B351" s="53"/>
      <c r="C351" s="54"/>
      <c r="D351" s="54"/>
      <c r="E351" s="51"/>
      <c r="F351" s="51"/>
      <c r="G351" s="51"/>
      <c r="H351" s="51"/>
      <c r="I351" s="51"/>
      <c r="J351" s="51"/>
      <c r="K351" s="51"/>
    </row>
    <row r="352" spans="1:11" ht="16.5" thickBot="1" x14ac:dyDescent="0.3">
      <c r="A352" s="305"/>
      <c r="B352" s="305"/>
      <c r="C352" s="346"/>
      <c r="D352" s="346"/>
      <c r="E352" s="241"/>
      <c r="F352" s="241"/>
      <c r="G352" s="241"/>
      <c r="H352" s="241"/>
      <c r="I352" s="55" t="s">
        <v>208</v>
      </c>
      <c r="J352" s="55"/>
      <c r="K352" s="241"/>
    </row>
    <row r="353" spans="1:11" ht="16.5" thickTop="1" x14ac:dyDescent="0.25">
      <c r="A353" s="306"/>
      <c r="B353" s="317"/>
      <c r="C353" s="347"/>
      <c r="D353" s="373"/>
      <c r="E353" s="334"/>
      <c r="F353" s="335"/>
      <c r="G353" s="335"/>
      <c r="H353" s="335"/>
      <c r="I353" s="335"/>
      <c r="J353" s="339"/>
      <c r="K353" s="276"/>
    </row>
    <row r="354" spans="1:11" ht="20.25" x14ac:dyDescent="0.3">
      <c r="A354" s="307"/>
      <c r="B354" s="242"/>
      <c r="C354" s="345"/>
      <c r="D354" s="374"/>
      <c r="E354" s="336"/>
      <c r="F354" s="337"/>
      <c r="G354" s="337"/>
      <c r="H354" s="337"/>
      <c r="I354" s="337"/>
      <c r="J354" s="340"/>
      <c r="K354" s="277" t="s">
        <v>209</v>
      </c>
    </row>
    <row r="355" spans="1:11" ht="15.75" x14ac:dyDescent="0.25">
      <c r="A355" s="307"/>
      <c r="B355" s="242"/>
      <c r="C355" s="345"/>
      <c r="D355" s="374"/>
      <c r="E355" s="278"/>
      <c r="F355" s="279"/>
      <c r="G355" s="280"/>
      <c r="H355" s="281"/>
      <c r="I355" s="282" t="s">
        <v>210</v>
      </c>
      <c r="J355" s="282" t="s">
        <v>211</v>
      </c>
      <c r="K355" s="277" t="s">
        <v>212</v>
      </c>
    </row>
    <row r="356" spans="1:11" ht="15.75" x14ac:dyDescent="0.25">
      <c r="A356" s="329" t="s">
        <v>213</v>
      </c>
      <c r="B356" s="242"/>
      <c r="C356" s="345"/>
      <c r="D356" s="374"/>
      <c r="E356" s="283" t="s">
        <v>214</v>
      </c>
      <c r="F356" s="284" t="s">
        <v>215</v>
      </c>
      <c r="G356" s="288" t="s">
        <v>216</v>
      </c>
      <c r="H356" s="289" t="s">
        <v>217</v>
      </c>
      <c r="I356" s="285" t="s">
        <v>218</v>
      </c>
      <c r="J356" s="285" t="s">
        <v>219</v>
      </c>
      <c r="K356" s="277" t="s">
        <v>220</v>
      </c>
    </row>
    <row r="357" spans="1:11" ht="15.75" x14ac:dyDescent="0.25">
      <c r="A357" s="307"/>
      <c r="B357" s="242"/>
      <c r="C357" s="345"/>
      <c r="D357" s="374"/>
      <c r="E357" s="283" t="s">
        <v>221</v>
      </c>
      <c r="F357" s="284" t="s">
        <v>222</v>
      </c>
      <c r="G357" s="288"/>
      <c r="H357" s="289"/>
      <c r="I357" s="294" t="s">
        <v>223</v>
      </c>
      <c r="J357" s="285" t="s">
        <v>224</v>
      </c>
      <c r="K357" s="277" t="s">
        <v>225</v>
      </c>
    </row>
    <row r="358" spans="1:11" ht="16.5" thickBot="1" x14ac:dyDescent="0.3">
      <c r="A358" s="308"/>
      <c r="B358" s="243"/>
      <c r="C358" s="346"/>
      <c r="D358" s="375"/>
      <c r="E358" s="290"/>
      <c r="F358" s="291"/>
      <c r="G358" s="292"/>
      <c r="H358" s="293"/>
      <c r="I358" s="295" t="s">
        <v>226</v>
      </c>
      <c r="J358" s="286"/>
      <c r="K358" s="287" t="s">
        <v>228</v>
      </c>
    </row>
    <row r="359" spans="1:11" ht="15.75" thickTop="1" x14ac:dyDescent="0.2">
      <c r="A359" s="57"/>
      <c r="B359" s="58"/>
      <c r="C359" s="59"/>
      <c r="D359" s="60"/>
      <c r="E359" s="260" t="s">
        <v>229</v>
      </c>
      <c r="F359" s="260" t="s">
        <v>230</v>
      </c>
      <c r="G359" s="260" t="s">
        <v>231</v>
      </c>
      <c r="H359" s="260" t="s">
        <v>232</v>
      </c>
      <c r="I359" s="260" t="s">
        <v>233</v>
      </c>
      <c r="J359" s="260" t="s">
        <v>234</v>
      </c>
      <c r="K359" s="272"/>
    </row>
    <row r="360" spans="1:11" ht="15.75" x14ac:dyDescent="0.25">
      <c r="A360" s="190"/>
      <c r="B360" s="191" t="s">
        <v>100</v>
      </c>
      <c r="C360" s="192" t="s">
        <v>674</v>
      </c>
      <c r="D360" s="193"/>
      <c r="E360" s="194"/>
      <c r="F360" s="194"/>
      <c r="G360" s="194"/>
      <c r="H360" s="194"/>
      <c r="I360" s="194"/>
      <c r="J360" s="194"/>
      <c r="K360" s="195"/>
    </row>
    <row r="361" spans="1:11" ht="15.75" x14ac:dyDescent="0.25">
      <c r="A361" s="190"/>
      <c r="B361" s="191"/>
      <c r="C361" s="192" t="s">
        <v>676</v>
      </c>
      <c r="D361" s="193"/>
      <c r="E361" s="194">
        <f t="shared" ref="E361:J361" si="25">E363+E373+E378</f>
        <v>0</v>
      </c>
      <c r="F361" s="194">
        <f t="shared" si="25"/>
        <v>0</v>
      </c>
      <c r="G361" s="194">
        <f t="shared" si="25"/>
        <v>0</v>
      </c>
      <c r="H361" s="194">
        <f t="shared" si="25"/>
        <v>0</v>
      </c>
      <c r="I361" s="194">
        <f t="shared" si="25"/>
        <v>0</v>
      </c>
      <c r="J361" s="196">
        <f t="shared" si="25"/>
        <v>0</v>
      </c>
      <c r="K361" s="197" t="e">
        <f>J361/J$175*100</f>
        <v>#REF!</v>
      </c>
    </row>
    <row r="362" spans="1:11" x14ac:dyDescent="0.2">
      <c r="A362" s="82"/>
      <c r="B362" s="94"/>
      <c r="C362" s="95"/>
      <c r="D362" s="145"/>
      <c r="E362" s="34"/>
      <c r="F362" s="34"/>
      <c r="G362" s="34"/>
      <c r="H362" s="34"/>
      <c r="I362" s="34"/>
      <c r="J362" s="34"/>
      <c r="K362" s="105"/>
    </row>
    <row r="363" spans="1:11" x14ac:dyDescent="0.2">
      <c r="A363" s="99">
        <v>750</v>
      </c>
      <c r="B363" s="100"/>
      <c r="C363" s="101" t="s">
        <v>678</v>
      </c>
      <c r="D363" s="149"/>
      <c r="E363" s="31">
        <f t="shared" ref="E363:J363" si="26">SUM(E364:E371)</f>
        <v>0</v>
      </c>
      <c r="F363" s="31">
        <f t="shared" si="26"/>
        <v>0</v>
      </c>
      <c r="G363" s="31">
        <f t="shared" si="26"/>
        <v>0</v>
      </c>
      <c r="H363" s="31">
        <f t="shared" si="26"/>
        <v>0</v>
      </c>
      <c r="I363" s="31">
        <f t="shared" si="26"/>
        <v>0</v>
      </c>
      <c r="J363" s="31">
        <f t="shared" si="26"/>
        <v>0</v>
      </c>
      <c r="K363" s="103" t="e">
        <f t="shared" ref="K363:K371" si="27">J363/J$175*100</f>
        <v>#REF!</v>
      </c>
    </row>
    <row r="364" spans="1:11" x14ac:dyDescent="0.2">
      <c r="A364" s="99">
        <v>7500</v>
      </c>
      <c r="B364" s="100"/>
      <c r="C364" s="101" t="s">
        <v>680</v>
      </c>
      <c r="D364" s="149"/>
      <c r="E364" s="31"/>
      <c r="F364" s="31"/>
      <c r="G364" s="31"/>
      <c r="H364" s="31">
        <v>0</v>
      </c>
      <c r="I364" s="31"/>
      <c r="J364" s="31">
        <f t="shared" ref="J364:J370" si="28">E364+F364+G364+H364-I364</f>
        <v>0</v>
      </c>
      <c r="K364" s="103" t="e">
        <f t="shared" si="27"/>
        <v>#REF!</v>
      </c>
    </row>
    <row r="365" spans="1:11" x14ac:dyDescent="0.2">
      <c r="A365" s="99">
        <v>7501</v>
      </c>
      <c r="B365" s="100"/>
      <c r="C365" s="101" t="s">
        <v>876</v>
      </c>
      <c r="D365" s="149"/>
      <c r="E365" s="31"/>
      <c r="F365" s="31"/>
      <c r="G365" s="31">
        <v>0</v>
      </c>
      <c r="H365" s="31">
        <v>0</v>
      </c>
      <c r="I365" s="31"/>
      <c r="J365" s="31">
        <f t="shared" si="28"/>
        <v>0</v>
      </c>
      <c r="K365" s="103" t="e">
        <f t="shared" si="27"/>
        <v>#REF!</v>
      </c>
    </row>
    <row r="366" spans="1:11" x14ac:dyDescent="0.2">
      <c r="A366" s="99">
        <v>7502</v>
      </c>
      <c r="B366" s="100"/>
      <c r="C366" s="101" t="s">
        <v>682</v>
      </c>
      <c r="D366" s="149"/>
      <c r="E366" s="31"/>
      <c r="F366" s="31"/>
      <c r="G366" s="31">
        <v>0</v>
      </c>
      <c r="H366" s="31">
        <v>0</v>
      </c>
      <c r="I366" s="31"/>
      <c r="J366" s="31">
        <f t="shared" si="28"/>
        <v>0</v>
      </c>
      <c r="K366" s="103" t="e">
        <f t="shared" si="27"/>
        <v>#REF!</v>
      </c>
    </row>
    <row r="367" spans="1:11" x14ac:dyDescent="0.2">
      <c r="A367" s="99">
        <v>7503</v>
      </c>
      <c r="B367" s="100"/>
      <c r="C367" s="101" t="s">
        <v>877</v>
      </c>
      <c r="D367" s="149"/>
      <c r="E367" s="31"/>
      <c r="F367" s="31"/>
      <c r="G367" s="31">
        <v>0</v>
      </c>
      <c r="H367" s="31">
        <v>0</v>
      </c>
      <c r="I367" s="31"/>
      <c r="J367" s="31">
        <f t="shared" si="28"/>
        <v>0</v>
      </c>
      <c r="K367" s="103" t="e">
        <f t="shared" si="27"/>
        <v>#REF!</v>
      </c>
    </row>
    <row r="368" spans="1:11" s="423" customFormat="1" x14ac:dyDescent="0.2">
      <c r="A368" s="99">
        <v>7504</v>
      </c>
      <c r="B368" s="100"/>
      <c r="C368" s="101" t="s">
        <v>686</v>
      </c>
      <c r="D368" s="149"/>
      <c r="E368" s="31"/>
      <c r="F368" s="31"/>
      <c r="G368" s="31">
        <v>0</v>
      </c>
      <c r="H368" s="31">
        <v>0</v>
      </c>
      <c r="I368" s="31"/>
      <c r="J368" s="31">
        <f t="shared" si="28"/>
        <v>0</v>
      </c>
      <c r="K368" s="103" t="e">
        <f t="shared" si="27"/>
        <v>#REF!</v>
      </c>
    </row>
    <row r="369" spans="1:11" s="423" customFormat="1" x14ac:dyDescent="0.2">
      <c r="A369" s="99">
        <v>7505</v>
      </c>
      <c r="B369" s="100"/>
      <c r="C369" s="101" t="s">
        <v>688</v>
      </c>
      <c r="D369" s="149"/>
      <c r="E369" s="31"/>
      <c r="F369" s="31"/>
      <c r="G369" s="31">
        <v>0</v>
      </c>
      <c r="H369" s="31"/>
      <c r="I369" s="31"/>
      <c r="J369" s="31">
        <f t="shared" si="28"/>
        <v>0</v>
      </c>
      <c r="K369" s="103" t="e">
        <f t="shared" si="27"/>
        <v>#REF!</v>
      </c>
    </row>
    <row r="370" spans="1:11" x14ac:dyDescent="0.2">
      <c r="A370" s="99">
        <v>7506</v>
      </c>
      <c r="B370" s="100"/>
      <c r="C370" s="101" t="s">
        <v>692</v>
      </c>
      <c r="D370" s="149"/>
      <c r="E370" s="31"/>
      <c r="F370" s="31"/>
      <c r="G370" s="31">
        <v>0</v>
      </c>
      <c r="H370" s="31">
        <v>0</v>
      </c>
      <c r="I370" s="31"/>
      <c r="J370" s="31">
        <f t="shared" si="28"/>
        <v>0</v>
      </c>
      <c r="K370" s="103" t="e">
        <f t="shared" si="27"/>
        <v>#REF!</v>
      </c>
    </row>
    <row r="371" spans="1:11" x14ac:dyDescent="0.2">
      <c r="A371" s="99">
        <v>7507</v>
      </c>
      <c r="B371" s="100"/>
      <c r="C371" s="101" t="s">
        <v>690</v>
      </c>
      <c r="D371" s="149"/>
      <c r="E371" s="31"/>
      <c r="F371" s="31"/>
      <c r="G371" s="31"/>
      <c r="H371" s="31"/>
      <c r="I371" s="31">
        <f>+H371+G371+F371+E371</f>
        <v>0</v>
      </c>
      <c r="J371" s="31">
        <f>E371+F371+G371+H371-I371</f>
        <v>0</v>
      </c>
      <c r="K371" s="103" t="e">
        <f t="shared" si="27"/>
        <v>#REF!</v>
      </c>
    </row>
    <row r="372" spans="1:11" x14ac:dyDescent="0.2">
      <c r="A372" s="82"/>
      <c r="B372" s="94"/>
      <c r="C372" s="95"/>
      <c r="D372" s="145"/>
      <c r="E372" s="34"/>
      <c r="F372" s="34"/>
      <c r="G372" s="34"/>
      <c r="H372" s="34"/>
      <c r="I372" s="34"/>
      <c r="J372" s="34"/>
      <c r="K372" s="105"/>
    </row>
    <row r="373" spans="1:11" x14ac:dyDescent="0.2">
      <c r="A373" s="99">
        <v>751</v>
      </c>
      <c r="B373" s="100"/>
      <c r="C373" s="101" t="s">
        <v>676</v>
      </c>
      <c r="D373" s="149"/>
      <c r="E373" s="31">
        <f>SUM(E374:E376)</f>
        <v>0</v>
      </c>
      <c r="F373" s="31">
        <f>SUM(F374:F376)</f>
        <v>0</v>
      </c>
      <c r="G373" s="31">
        <f>SUM(G374:G376)</f>
        <v>0</v>
      </c>
      <c r="H373" s="31">
        <v>0</v>
      </c>
      <c r="I373" s="31">
        <f>SUM(I374:I376)</f>
        <v>0</v>
      </c>
      <c r="J373" s="31">
        <f>SUM(J374:J376)</f>
        <v>0</v>
      </c>
      <c r="K373" s="103" t="e">
        <f>J373/J$175*100</f>
        <v>#REF!</v>
      </c>
    </row>
    <row r="374" spans="1:11" x14ac:dyDescent="0.2">
      <c r="A374" s="99">
        <v>7510</v>
      </c>
      <c r="B374" s="100"/>
      <c r="C374" s="101" t="s">
        <v>694</v>
      </c>
      <c r="D374" s="149"/>
      <c r="E374" s="31"/>
      <c r="F374" s="31"/>
      <c r="G374" s="31">
        <v>0</v>
      </c>
      <c r="H374" s="31">
        <v>0</v>
      </c>
      <c r="I374" s="31">
        <v>0</v>
      </c>
      <c r="J374" s="31">
        <f>E374+F374+G374+H374-I374</f>
        <v>0</v>
      </c>
      <c r="K374" s="103" t="e">
        <f>J374/J$175*100</f>
        <v>#REF!</v>
      </c>
    </row>
    <row r="375" spans="1:11" x14ac:dyDescent="0.2">
      <c r="A375" s="99">
        <v>7511</v>
      </c>
      <c r="B375" s="100"/>
      <c r="C375" s="101" t="s">
        <v>696</v>
      </c>
      <c r="D375" s="149"/>
      <c r="E375" s="31"/>
      <c r="F375" s="31"/>
      <c r="G375" s="31">
        <v>0</v>
      </c>
      <c r="H375" s="31">
        <v>0</v>
      </c>
      <c r="I375" s="31">
        <v>0</v>
      </c>
      <c r="J375" s="31">
        <f>E375+F375+G375+H375-I375</f>
        <v>0</v>
      </c>
      <c r="K375" s="103" t="e">
        <f>J375/J$175*100</f>
        <v>#REF!</v>
      </c>
    </row>
    <row r="376" spans="1:11" x14ac:dyDescent="0.2">
      <c r="A376" s="99">
        <v>7512</v>
      </c>
      <c r="B376" s="100"/>
      <c r="C376" s="101" t="s">
        <v>698</v>
      </c>
      <c r="D376" s="149"/>
      <c r="E376" s="31"/>
      <c r="F376" s="31"/>
      <c r="G376" s="31">
        <v>0</v>
      </c>
      <c r="H376" s="31">
        <v>0</v>
      </c>
      <c r="I376" s="31">
        <v>0</v>
      </c>
      <c r="J376" s="31">
        <f>E376+F376+G376+H376-I376</f>
        <v>0</v>
      </c>
      <c r="K376" s="103" t="e">
        <f>J376/J$175*100</f>
        <v>#REF!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50"/>
    </row>
    <row r="378" spans="1:11" x14ac:dyDescent="0.2">
      <c r="A378" s="99">
        <v>752</v>
      </c>
      <c r="B378" s="100"/>
      <c r="C378" s="101" t="s">
        <v>700</v>
      </c>
      <c r="D378" s="149"/>
      <c r="E378" s="31">
        <f>E379</f>
        <v>0</v>
      </c>
      <c r="F378" s="31">
        <f>F379</f>
        <v>0</v>
      </c>
      <c r="G378" s="31">
        <f>G379</f>
        <v>0</v>
      </c>
      <c r="H378" s="31">
        <f>H379</f>
        <v>0</v>
      </c>
      <c r="I378" s="31">
        <f>I379</f>
        <v>0</v>
      </c>
      <c r="J378" s="31">
        <f>E378+F378+G378+H378</f>
        <v>0</v>
      </c>
      <c r="K378" s="103" t="e">
        <f>J378/J$175*100</f>
        <v>#REF!</v>
      </c>
    </row>
    <row r="379" spans="1:11" x14ac:dyDescent="0.2">
      <c r="A379" s="99">
        <v>7520</v>
      </c>
      <c r="B379" s="100"/>
      <c r="C379" s="101" t="s">
        <v>102</v>
      </c>
      <c r="D379" s="149"/>
      <c r="E379" s="31"/>
      <c r="F379" s="31">
        <v>0</v>
      </c>
      <c r="G379" s="31">
        <v>0</v>
      </c>
      <c r="H379" s="31">
        <v>0</v>
      </c>
      <c r="I379" s="31">
        <v>0</v>
      </c>
      <c r="J379" s="31">
        <f>E379+F379+G379+H379-I379</f>
        <v>0</v>
      </c>
      <c r="K379" s="103" t="e">
        <f>J379/J$175*100</f>
        <v>#REF!</v>
      </c>
    </row>
    <row r="380" spans="1:11" ht="15.75" thickBot="1" x14ac:dyDescent="0.25">
      <c r="A380" s="120"/>
      <c r="B380" s="121"/>
      <c r="C380" s="122"/>
      <c r="D380" s="160"/>
      <c r="E380" s="161"/>
      <c r="F380" s="161"/>
      <c r="G380" s="161"/>
      <c r="H380" s="161"/>
      <c r="I380" s="161"/>
      <c r="J380" s="161"/>
      <c r="K380" s="166"/>
    </row>
    <row r="381" spans="1:11" ht="15.75" thickTop="1" x14ac:dyDescent="0.2">
      <c r="A381" s="135"/>
      <c r="B381" s="136"/>
      <c r="C381" s="137"/>
      <c r="D381" s="163"/>
      <c r="E381" s="164"/>
      <c r="F381" s="164"/>
      <c r="G381" s="164"/>
      <c r="H381" s="164"/>
      <c r="I381" s="164"/>
      <c r="J381" s="164"/>
      <c r="K381" s="198"/>
    </row>
    <row r="382" spans="1:11" ht="15.75" x14ac:dyDescent="0.25">
      <c r="A382" s="69"/>
      <c r="B382" s="70" t="s">
        <v>104</v>
      </c>
      <c r="C382" s="77" t="s">
        <v>105</v>
      </c>
      <c r="D382" s="142"/>
      <c r="E382" s="73"/>
      <c r="F382" s="73"/>
      <c r="G382" s="73"/>
      <c r="H382" s="73"/>
      <c r="I382" s="73"/>
      <c r="J382" s="73"/>
      <c r="K382" s="93"/>
    </row>
    <row r="383" spans="1:11" ht="15.75" x14ac:dyDescent="0.25">
      <c r="A383" s="69"/>
      <c r="B383" s="70"/>
      <c r="C383" s="77" t="s">
        <v>107</v>
      </c>
      <c r="D383" s="142"/>
      <c r="E383" s="73">
        <f t="shared" ref="E383:J383" si="29">E385+E394+E402+E407</f>
        <v>0</v>
      </c>
      <c r="F383" s="73">
        <f t="shared" si="29"/>
        <v>0</v>
      </c>
      <c r="G383" s="73">
        <f t="shared" si="29"/>
        <v>0</v>
      </c>
      <c r="H383" s="73">
        <f t="shared" si="29"/>
        <v>0</v>
      </c>
      <c r="I383" s="73">
        <f t="shared" si="29"/>
        <v>0</v>
      </c>
      <c r="J383" s="73">
        <f t="shared" si="29"/>
        <v>0</v>
      </c>
      <c r="K383" s="197" t="e">
        <f>J383/J$175*100</f>
        <v>#REF!</v>
      </c>
    </row>
    <row r="384" spans="1:11" x14ac:dyDescent="0.2">
      <c r="A384" s="82"/>
      <c r="B384" s="94"/>
      <c r="C384" s="95"/>
      <c r="D384" s="145"/>
      <c r="E384" s="34"/>
      <c r="F384" s="34"/>
      <c r="G384" s="34"/>
      <c r="H384" s="34"/>
      <c r="I384" s="34"/>
      <c r="J384" s="34"/>
      <c r="K384" s="105"/>
    </row>
    <row r="385" spans="1:11" x14ac:dyDescent="0.2">
      <c r="A385" s="99">
        <v>440</v>
      </c>
      <c r="B385" s="100"/>
      <c r="C385" s="101" t="s">
        <v>109</v>
      </c>
      <c r="D385" s="149"/>
      <c r="E385" s="31">
        <f t="shared" ref="E385:J385" si="30">SUM(E386:E392)</f>
        <v>0</v>
      </c>
      <c r="F385" s="31">
        <f t="shared" si="30"/>
        <v>0</v>
      </c>
      <c r="G385" s="31">
        <v>0</v>
      </c>
      <c r="H385" s="31">
        <v>0</v>
      </c>
      <c r="I385" s="31">
        <f t="shared" si="30"/>
        <v>0</v>
      </c>
      <c r="J385" s="31">
        <f t="shared" si="30"/>
        <v>0</v>
      </c>
      <c r="K385" s="103" t="e">
        <f t="shared" ref="K385:K392" si="31">J385/J$175*100</f>
        <v>#REF!</v>
      </c>
    </row>
    <row r="386" spans="1:11" x14ac:dyDescent="0.2">
      <c r="A386" s="99">
        <v>4400</v>
      </c>
      <c r="B386" s="100"/>
      <c r="C386" s="101" t="s">
        <v>111</v>
      </c>
      <c r="D386" s="149"/>
      <c r="E386" s="31"/>
      <c r="F386" s="31"/>
      <c r="G386" s="31">
        <v>0</v>
      </c>
      <c r="H386" s="31">
        <v>0</v>
      </c>
      <c r="I386" s="31">
        <v>0</v>
      </c>
      <c r="J386" s="31">
        <f t="shared" ref="J386:J392" si="32">E386+F386+G386+H386</f>
        <v>0</v>
      </c>
      <c r="K386" s="103" t="e">
        <f t="shared" si="31"/>
        <v>#REF!</v>
      </c>
    </row>
    <row r="387" spans="1:11" x14ac:dyDescent="0.2">
      <c r="A387" s="99">
        <v>4401</v>
      </c>
      <c r="B387" s="100"/>
      <c r="C387" s="101" t="s">
        <v>113</v>
      </c>
      <c r="D387" s="149"/>
      <c r="E387" s="31"/>
      <c r="F387" s="31"/>
      <c r="G387" s="31">
        <v>0</v>
      </c>
      <c r="H387" s="31">
        <v>0</v>
      </c>
      <c r="I387" s="31">
        <v>0</v>
      </c>
      <c r="J387" s="31">
        <f t="shared" si="32"/>
        <v>0</v>
      </c>
      <c r="K387" s="103" t="e">
        <f t="shared" si="31"/>
        <v>#REF!</v>
      </c>
    </row>
    <row r="388" spans="1:11" x14ac:dyDescent="0.2">
      <c r="A388" s="99">
        <v>4402</v>
      </c>
      <c r="B388" s="100"/>
      <c r="C388" s="101" t="s">
        <v>115</v>
      </c>
      <c r="D388" s="149"/>
      <c r="E388" s="31"/>
      <c r="F388" s="31"/>
      <c r="G388" s="31">
        <v>0</v>
      </c>
      <c r="H388" s="31">
        <v>0</v>
      </c>
      <c r="I388" s="31">
        <v>0</v>
      </c>
      <c r="J388" s="31">
        <f t="shared" si="32"/>
        <v>0</v>
      </c>
      <c r="K388" s="103" t="e">
        <f t="shared" si="31"/>
        <v>#REF!</v>
      </c>
    </row>
    <row r="389" spans="1:11" x14ac:dyDescent="0.2">
      <c r="A389" s="99">
        <v>4403</v>
      </c>
      <c r="B389" s="100"/>
      <c r="C389" s="101" t="s">
        <v>117</v>
      </c>
      <c r="D389" s="149"/>
      <c r="E389" s="31"/>
      <c r="F389" s="31"/>
      <c r="G389" s="31">
        <v>0</v>
      </c>
      <c r="H389" s="31">
        <v>0</v>
      </c>
      <c r="I389" s="31">
        <v>0</v>
      </c>
      <c r="J389" s="31">
        <f t="shared" si="32"/>
        <v>0</v>
      </c>
      <c r="K389" s="103" t="e">
        <f t="shared" si="31"/>
        <v>#REF!</v>
      </c>
    </row>
    <row r="390" spans="1:11" x14ac:dyDescent="0.2">
      <c r="A390" s="99">
        <v>4404</v>
      </c>
      <c r="B390" s="100"/>
      <c r="C390" s="101" t="s">
        <v>119</v>
      </c>
      <c r="D390" s="149"/>
      <c r="E390" s="31"/>
      <c r="F390" s="31"/>
      <c r="G390" s="31">
        <v>0</v>
      </c>
      <c r="H390" s="31">
        <v>0</v>
      </c>
      <c r="I390" s="31">
        <v>0</v>
      </c>
      <c r="J390" s="31">
        <f t="shared" si="32"/>
        <v>0</v>
      </c>
      <c r="K390" s="103" t="e">
        <f t="shared" si="31"/>
        <v>#REF!</v>
      </c>
    </row>
    <row r="391" spans="1:11" x14ac:dyDescent="0.2">
      <c r="A391" s="106">
        <v>4405</v>
      </c>
      <c r="B391" s="107"/>
      <c r="C391" s="108" t="s">
        <v>121</v>
      </c>
      <c r="D391" s="153"/>
      <c r="E391" s="109"/>
      <c r="F391" s="109"/>
      <c r="G391" s="109">
        <v>0</v>
      </c>
      <c r="H391" s="109">
        <v>0</v>
      </c>
      <c r="I391" s="109">
        <v>0</v>
      </c>
      <c r="J391" s="109">
        <f t="shared" si="32"/>
        <v>0</v>
      </c>
      <c r="K391" s="103" t="e">
        <f t="shared" si="31"/>
        <v>#REF!</v>
      </c>
    </row>
    <row r="392" spans="1:11" x14ac:dyDescent="0.2">
      <c r="A392" s="99">
        <v>4406</v>
      </c>
      <c r="B392" s="100"/>
      <c r="C392" s="101" t="s">
        <v>123</v>
      </c>
      <c r="D392" s="149"/>
      <c r="E392" s="31"/>
      <c r="F392" s="31"/>
      <c r="G392" s="31">
        <v>0</v>
      </c>
      <c r="H392" s="31">
        <v>0</v>
      </c>
      <c r="I392" s="31"/>
      <c r="J392" s="31">
        <f t="shared" si="32"/>
        <v>0</v>
      </c>
      <c r="K392" s="103" t="e">
        <f t="shared" si="31"/>
        <v>#REF!</v>
      </c>
    </row>
    <row r="393" spans="1:11" x14ac:dyDescent="0.2">
      <c r="A393" s="82"/>
      <c r="B393" s="94"/>
      <c r="C393" s="95"/>
      <c r="D393" s="145"/>
      <c r="E393" s="34"/>
      <c r="F393" s="34"/>
      <c r="G393" s="34"/>
      <c r="H393" s="34"/>
      <c r="I393" s="34"/>
      <c r="J393" s="34"/>
      <c r="K393" s="105"/>
    </row>
    <row r="394" spans="1:11" x14ac:dyDescent="0.2">
      <c r="A394" s="99">
        <v>441</v>
      </c>
      <c r="B394" s="100"/>
      <c r="C394" s="101" t="s">
        <v>125</v>
      </c>
      <c r="D394" s="149"/>
      <c r="E394" s="31">
        <f>SUM(E395:E399)</f>
        <v>0</v>
      </c>
      <c r="F394" s="31">
        <f>SUM(F395:F399)</f>
        <v>0</v>
      </c>
      <c r="G394" s="31">
        <v>0</v>
      </c>
      <c r="H394" s="31">
        <v>0</v>
      </c>
      <c r="I394" s="31">
        <f>SUM(I395:I399)</f>
        <v>0</v>
      </c>
      <c r="J394" s="31">
        <f>SUM(J395:J399)</f>
        <v>0</v>
      </c>
      <c r="K394" s="103" t="e">
        <f t="shared" ref="K394:K400" si="33">J394/J$175*100</f>
        <v>#REF!</v>
      </c>
    </row>
    <row r="395" spans="1:11" x14ac:dyDescent="0.2">
      <c r="A395" s="99">
        <v>4410</v>
      </c>
      <c r="B395" s="100"/>
      <c r="C395" s="101" t="s">
        <v>701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ref="J395:J400" si="34">E395+F395+G395+H395</f>
        <v>0</v>
      </c>
      <c r="K395" s="103" t="e">
        <f t="shared" si="33"/>
        <v>#REF!</v>
      </c>
    </row>
    <row r="396" spans="1:11" x14ac:dyDescent="0.2">
      <c r="A396" s="99">
        <v>4411</v>
      </c>
      <c r="B396" s="100"/>
      <c r="C396" s="101" t="s">
        <v>703</v>
      </c>
      <c r="D396" s="149"/>
      <c r="E396" s="31"/>
      <c r="F396" s="31"/>
      <c r="G396" s="31">
        <v>0</v>
      </c>
      <c r="H396" s="31">
        <v>0</v>
      </c>
      <c r="I396" s="31">
        <v>0</v>
      </c>
      <c r="J396" s="31">
        <f t="shared" si="34"/>
        <v>0</v>
      </c>
      <c r="K396" s="103" t="e">
        <f t="shared" si="33"/>
        <v>#REF!</v>
      </c>
    </row>
    <row r="397" spans="1:11" x14ac:dyDescent="0.2">
      <c r="A397" s="99">
        <v>4412</v>
      </c>
      <c r="B397" s="100"/>
      <c r="C397" s="101" t="s">
        <v>705</v>
      </c>
      <c r="D397" s="149"/>
      <c r="E397" s="31"/>
      <c r="F397" s="31"/>
      <c r="G397" s="31">
        <v>0</v>
      </c>
      <c r="H397" s="31">
        <v>0</v>
      </c>
      <c r="I397" s="31">
        <v>0</v>
      </c>
      <c r="J397" s="31">
        <f t="shared" si="34"/>
        <v>0</v>
      </c>
      <c r="K397" s="103" t="e">
        <f t="shared" si="33"/>
        <v>#REF!</v>
      </c>
    </row>
    <row r="398" spans="1:11" x14ac:dyDescent="0.2">
      <c r="A398" s="99">
        <v>4413</v>
      </c>
      <c r="B398" s="100"/>
      <c r="C398" s="101" t="s">
        <v>707</v>
      </c>
      <c r="D398" s="149"/>
      <c r="E398" s="31"/>
      <c r="F398" s="31"/>
      <c r="G398" s="31">
        <v>0</v>
      </c>
      <c r="H398" s="31">
        <v>0</v>
      </c>
      <c r="I398" s="31">
        <v>0</v>
      </c>
      <c r="J398" s="31">
        <f t="shared" si="34"/>
        <v>0</v>
      </c>
      <c r="K398" s="103" t="e">
        <f t="shared" si="33"/>
        <v>#REF!</v>
      </c>
    </row>
    <row r="399" spans="1:11" x14ac:dyDescent="0.2">
      <c r="A399" s="99">
        <v>4414</v>
      </c>
      <c r="B399" s="100"/>
      <c r="C399" s="101" t="s">
        <v>709</v>
      </c>
      <c r="D399" s="149"/>
      <c r="E399" s="31"/>
      <c r="F399" s="31"/>
      <c r="G399" s="31">
        <v>0</v>
      </c>
      <c r="H399" s="31">
        <v>0</v>
      </c>
      <c r="I399" s="31">
        <v>0</v>
      </c>
      <c r="J399" s="31">
        <f t="shared" si="34"/>
        <v>0</v>
      </c>
      <c r="K399" s="103" t="e">
        <f t="shared" si="33"/>
        <v>#REF!</v>
      </c>
    </row>
    <row r="400" spans="1:11" x14ac:dyDescent="0.2">
      <c r="A400" s="99">
        <v>4415</v>
      </c>
      <c r="B400" s="100"/>
      <c r="C400" s="101" t="s">
        <v>835</v>
      </c>
      <c r="D400" s="149"/>
      <c r="E400" s="31"/>
      <c r="F400" s="31"/>
      <c r="G400" s="31">
        <v>0</v>
      </c>
      <c r="H400" s="31">
        <v>0</v>
      </c>
      <c r="I400" s="31">
        <v>0</v>
      </c>
      <c r="J400" s="31">
        <f t="shared" si="34"/>
        <v>0</v>
      </c>
      <c r="K400" s="103" t="e">
        <f t="shared" si="33"/>
        <v>#REF!</v>
      </c>
    </row>
    <row r="401" spans="1:11" x14ac:dyDescent="0.2">
      <c r="A401" s="82"/>
      <c r="B401" s="94"/>
      <c r="C401" s="95"/>
      <c r="D401" s="145"/>
      <c r="E401" s="34"/>
      <c r="F401" s="34"/>
      <c r="G401" s="34"/>
      <c r="H401" s="34"/>
      <c r="I401" s="34"/>
      <c r="J401" s="34"/>
      <c r="K401" s="150"/>
    </row>
    <row r="402" spans="1:11" x14ac:dyDescent="0.2">
      <c r="A402" s="99">
        <v>442</v>
      </c>
      <c r="B402" s="100"/>
      <c r="C402" s="101" t="s">
        <v>711</v>
      </c>
      <c r="D402" s="149"/>
      <c r="E402" s="31">
        <f>SUM(E403:E405)</f>
        <v>0</v>
      </c>
      <c r="F402" s="31">
        <f>F403+F404</f>
        <v>0</v>
      </c>
      <c r="G402" s="31">
        <v>0</v>
      </c>
      <c r="H402" s="31">
        <f>H403+H404</f>
        <v>0</v>
      </c>
      <c r="I402" s="31">
        <f>I403+I404</f>
        <v>0</v>
      </c>
      <c r="J402" s="31">
        <f>SUM(J403:J405)</f>
        <v>0</v>
      </c>
      <c r="K402" s="103" t="e">
        <f>J402/J$175*100</f>
        <v>#REF!</v>
      </c>
    </row>
    <row r="403" spans="1:11" x14ac:dyDescent="0.2">
      <c r="A403" s="99">
        <v>4420</v>
      </c>
      <c r="B403" s="100"/>
      <c r="C403" s="101" t="s">
        <v>713</v>
      </c>
      <c r="D403" s="149"/>
      <c r="E403" s="31"/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0</v>
      </c>
      <c r="K403" s="103" t="e">
        <f>J403/J$175*100</f>
        <v>#REF!</v>
      </c>
    </row>
    <row r="404" spans="1:11" x14ac:dyDescent="0.2">
      <c r="A404" s="99">
        <v>4421</v>
      </c>
      <c r="B404" s="100"/>
      <c r="C404" s="101" t="s">
        <v>715</v>
      </c>
      <c r="D404" s="149"/>
      <c r="E404" s="31"/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0</v>
      </c>
      <c r="K404" s="103" t="e">
        <f>J404/J$175*100</f>
        <v>#REF!</v>
      </c>
    </row>
    <row r="405" spans="1:11" x14ac:dyDescent="0.2">
      <c r="A405" s="99">
        <v>4422</v>
      </c>
      <c r="B405" s="100"/>
      <c r="C405" s="101" t="s">
        <v>824</v>
      </c>
      <c r="D405" s="149"/>
      <c r="E405" s="31"/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0</v>
      </c>
      <c r="K405" s="103" t="e">
        <f>J405/J$175*100</f>
        <v>#REF!</v>
      </c>
    </row>
    <row r="406" spans="1:11" x14ac:dyDescent="0.2">
      <c r="A406" s="204"/>
      <c r="B406" s="205"/>
      <c r="C406" s="206"/>
      <c r="D406" s="424"/>
      <c r="E406" s="383"/>
      <c r="F406" s="383"/>
      <c r="G406" s="383"/>
      <c r="H406" s="383"/>
      <c r="I406" s="383"/>
      <c r="J406" s="383"/>
      <c r="K406" s="425"/>
    </row>
    <row r="407" spans="1:11" x14ac:dyDescent="0.2">
      <c r="A407" s="204">
        <v>443</v>
      </c>
      <c r="B407" s="205"/>
      <c r="C407" s="206" t="s">
        <v>878</v>
      </c>
      <c r="D407" s="424"/>
      <c r="E407" s="383">
        <f>+E408</f>
        <v>0</v>
      </c>
      <c r="F407" s="383">
        <f>+F408</f>
        <v>0</v>
      </c>
      <c r="G407" s="383">
        <f>+G408</f>
        <v>0</v>
      </c>
      <c r="H407" s="383">
        <f>+H408</f>
        <v>0</v>
      </c>
      <c r="I407" s="383">
        <f>+I408</f>
        <v>0</v>
      </c>
      <c r="J407" s="383">
        <f>+E407+F407+G407+H407+-I407</f>
        <v>0</v>
      </c>
      <c r="K407" s="425"/>
    </row>
    <row r="408" spans="1:11" x14ac:dyDescent="0.2">
      <c r="A408" s="204">
        <v>4430</v>
      </c>
      <c r="B408" s="205"/>
      <c r="C408" s="206" t="s">
        <v>879</v>
      </c>
      <c r="D408" s="424"/>
      <c r="E408" s="383"/>
      <c r="F408" s="383"/>
      <c r="G408" s="383"/>
      <c r="H408" s="383"/>
      <c r="I408" s="383"/>
      <c r="J408" s="383">
        <f>+E408+F408+G408+H408+-I408</f>
        <v>0</v>
      </c>
      <c r="K408" s="425"/>
    </row>
    <row r="409" spans="1:11" ht="15.75" thickBot="1" x14ac:dyDescent="0.25">
      <c r="A409" s="120"/>
      <c r="B409" s="121"/>
      <c r="C409" s="122"/>
      <c r="D409" s="160"/>
      <c r="E409" s="161"/>
      <c r="F409" s="161"/>
      <c r="G409" s="161"/>
      <c r="H409" s="161"/>
      <c r="I409" s="161"/>
      <c r="J409" s="161"/>
      <c r="K409" s="166"/>
    </row>
    <row r="410" spans="1:11" ht="15.75" thickTop="1" x14ac:dyDescent="0.2">
      <c r="A410" s="135"/>
      <c r="B410" s="136"/>
      <c r="C410" s="137"/>
      <c r="D410" s="163"/>
      <c r="E410" s="164"/>
      <c r="F410" s="164"/>
      <c r="G410" s="164"/>
      <c r="H410" s="164"/>
      <c r="I410" s="164"/>
      <c r="J410" s="164"/>
      <c r="K410" s="198"/>
    </row>
    <row r="411" spans="1:11" ht="15.75" x14ac:dyDescent="0.25">
      <c r="A411" s="69"/>
      <c r="B411" s="70" t="s">
        <v>717</v>
      </c>
      <c r="C411" s="77" t="s">
        <v>718</v>
      </c>
      <c r="D411" s="142"/>
      <c r="E411" s="73">
        <f t="shared" ref="E411:J411" si="35">E361-E383</f>
        <v>0</v>
      </c>
      <c r="F411" s="73">
        <f t="shared" si="35"/>
        <v>0</v>
      </c>
      <c r="G411" s="73">
        <f t="shared" si="35"/>
        <v>0</v>
      </c>
      <c r="H411" s="73">
        <f t="shared" si="35"/>
        <v>0</v>
      </c>
      <c r="I411" s="73">
        <f t="shared" si="35"/>
        <v>0</v>
      </c>
      <c r="J411" s="199">
        <f t="shared" si="35"/>
        <v>0</v>
      </c>
      <c r="K411" s="197" t="e">
        <f>J411/J$175*100</f>
        <v>#REF!</v>
      </c>
    </row>
    <row r="412" spans="1:11" ht="15.75" x14ac:dyDescent="0.25">
      <c r="A412" s="69"/>
      <c r="B412" s="70"/>
      <c r="C412" s="77" t="s">
        <v>719</v>
      </c>
      <c r="D412" s="142"/>
      <c r="E412" s="73"/>
      <c r="F412" s="73"/>
      <c r="G412" s="73"/>
      <c r="H412" s="73"/>
      <c r="I412" s="73"/>
      <c r="J412" s="175"/>
      <c r="K412" s="93"/>
    </row>
    <row r="413" spans="1:11" ht="15.75" x14ac:dyDescent="0.25">
      <c r="A413" s="88"/>
      <c r="B413" s="89"/>
      <c r="C413" s="90" t="s">
        <v>721</v>
      </c>
      <c r="D413" s="146"/>
      <c r="E413" s="32"/>
      <c r="F413" s="32"/>
      <c r="G413" s="32"/>
      <c r="H413" s="32"/>
      <c r="I413" s="32"/>
      <c r="J413" s="29"/>
      <c r="K413" s="93"/>
    </row>
    <row r="414" spans="1:11" ht="15.75" thickBot="1" x14ac:dyDescent="0.25">
      <c r="A414" s="178"/>
      <c r="B414" s="179"/>
      <c r="C414" s="180"/>
      <c r="D414" s="181"/>
      <c r="E414" s="182"/>
      <c r="F414" s="182"/>
      <c r="G414" s="182"/>
      <c r="H414" s="182"/>
      <c r="I414" s="182"/>
      <c r="J414" s="182"/>
      <c r="K414" s="200"/>
    </row>
    <row r="415" spans="1:11" ht="15.75" thickTop="1" x14ac:dyDescent="0.2">
      <c r="A415" s="53"/>
      <c r="B415" s="53"/>
      <c r="C415" s="54"/>
      <c r="D415" s="54"/>
      <c r="E415" s="51"/>
      <c r="F415" s="51"/>
      <c r="G415" s="51"/>
      <c r="H415" s="51"/>
      <c r="I415" s="51"/>
      <c r="J415" s="51"/>
      <c r="K415" s="51"/>
    </row>
    <row r="416" spans="1:11" x14ac:dyDescent="0.2">
      <c r="A416" s="53"/>
      <c r="B416" s="53"/>
      <c r="C416" s="54"/>
      <c r="D416" s="54"/>
      <c r="E416" s="51"/>
      <c r="F416" s="51"/>
      <c r="G416" s="51"/>
      <c r="H416" s="51"/>
      <c r="I416" s="51"/>
      <c r="J416" s="51"/>
      <c r="K416" s="51"/>
    </row>
    <row r="417" spans="1:1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  <row r="418" spans="1:11" ht="23.25" x14ac:dyDescent="0.35">
      <c r="A418" s="201"/>
      <c r="B418" s="237" t="s">
        <v>791</v>
      </c>
      <c r="C418" s="239" t="s">
        <v>792</v>
      </c>
      <c r="D418" s="262" t="s">
        <v>844</v>
      </c>
      <c r="E418" s="238"/>
      <c r="F418" s="263"/>
      <c r="G418" s="263"/>
      <c r="H418" s="263"/>
      <c r="I418" s="9"/>
      <c r="J418" s="9"/>
      <c r="K418" s="9"/>
    </row>
    <row r="419" spans="1:11" x14ac:dyDescent="0.2">
      <c r="A419" s="53"/>
      <c r="B419" s="53"/>
      <c r="C419" s="54"/>
      <c r="D419" s="54"/>
      <c r="E419" s="51"/>
      <c r="F419" s="51"/>
      <c r="G419" s="51"/>
      <c r="H419" s="51"/>
      <c r="I419" s="51"/>
      <c r="J419" s="51"/>
      <c r="K419" s="51"/>
    </row>
    <row r="420" spans="1:11" ht="16.5" thickBot="1" x14ac:dyDescent="0.3">
      <c r="A420" s="305"/>
      <c r="B420" s="305"/>
      <c r="C420" s="346"/>
      <c r="D420" s="346"/>
      <c r="E420" s="241"/>
      <c r="F420" s="241"/>
      <c r="G420" s="241"/>
      <c r="H420" s="241"/>
      <c r="I420" s="55" t="s">
        <v>208</v>
      </c>
      <c r="J420" s="55"/>
      <c r="K420" s="241"/>
    </row>
    <row r="421" spans="1:11" ht="16.5" thickTop="1" x14ac:dyDescent="0.25">
      <c r="A421" s="306"/>
      <c r="B421" s="317"/>
      <c r="C421" s="347"/>
      <c r="D421" s="373"/>
      <c r="E421" s="334"/>
      <c r="F421" s="335"/>
      <c r="G421" s="335"/>
      <c r="H421" s="335"/>
      <c r="I421" s="335"/>
      <c r="J421" s="339"/>
      <c r="K421" s="276"/>
    </row>
    <row r="422" spans="1:11" ht="20.25" x14ac:dyDescent="0.3">
      <c r="A422" s="307"/>
      <c r="B422" s="242"/>
      <c r="C422" s="345"/>
      <c r="D422" s="374"/>
      <c r="E422" s="336"/>
      <c r="F422" s="337"/>
      <c r="G422" s="337"/>
      <c r="H422" s="337"/>
      <c r="I422" s="337"/>
      <c r="J422" s="340"/>
      <c r="K422" s="277" t="s">
        <v>209</v>
      </c>
    </row>
    <row r="423" spans="1:11" ht="15.75" x14ac:dyDescent="0.25">
      <c r="A423" s="307"/>
      <c r="B423" s="242"/>
      <c r="C423" s="345"/>
      <c r="D423" s="374"/>
      <c r="E423" s="278"/>
      <c r="F423" s="279"/>
      <c r="G423" s="280"/>
      <c r="H423" s="281"/>
      <c r="I423" s="282" t="s">
        <v>210</v>
      </c>
      <c r="J423" s="282" t="s">
        <v>211</v>
      </c>
      <c r="K423" s="277" t="s">
        <v>212</v>
      </c>
    </row>
    <row r="424" spans="1:11" ht="15.75" x14ac:dyDescent="0.25">
      <c r="A424" s="329" t="s">
        <v>213</v>
      </c>
      <c r="B424" s="242"/>
      <c r="C424" s="345"/>
      <c r="D424" s="374"/>
      <c r="E424" s="283" t="s">
        <v>214</v>
      </c>
      <c r="F424" s="284" t="s">
        <v>215</v>
      </c>
      <c r="G424" s="288" t="s">
        <v>216</v>
      </c>
      <c r="H424" s="289" t="s">
        <v>217</v>
      </c>
      <c r="I424" s="285" t="s">
        <v>218</v>
      </c>
      <c r="J424" s="285" t="s">
        <v>219</v>
      </c>
      <c r="K424" s="277" t="s">
        <v>220</v>
      </c>
    </row>
    <row r="425" spans="1:11" ht="15.75" x14ac:dyDescent="0.25">
      <c r="A425" s="307"/>
      <c r="B425" s="242"/>
      <c r="C425" s="345"/>
      <c r="D425" s="374"/>
      <c r="E425" s="283" t="s">
        <v>221</v>
      </c>
      <c r="F425" s="284" t="s">
        <v>222</v>
      </c>
      <c r="G425" s="288"/>
      <c r="H425" s="289"/>
      <c r="I425" s="294" t="s">
        <v>223</v>
      </c>
      <c r="J425" s="285" t="s">
        <v>224</v>
      </c>
      <c r="K425" s="277" t="s">
        <v>225</v>
      </c>
    </row>
    <row r="426" spans="1:11" ht="16.5" thickBot="1" x14ac:dyDescent="0.3">
      <c r="A426" s="308"/>
      <c r="B426" s="243"/>
      <c r="C426" s="346"/>
      <c r="D426" s="375"/>
      <c r="E426" s="290"/>
      <c r="F426" s="291"/>
      <c r="G426" s="292"/>
      <c r="H426" s="293"/>
      <c r="I426" s="295" t="s">
        <v>226</v>
      </c>
      <c r="J426" s="286"/>
      <c r="K426" s="287" t="s">
        <v>228</v>
      </c>
    </row>
    <row r="427" spans="1:11" ht="15.75" thickTop="1" x14ac:dyDescent="0.2">
      <c r="A427" s="57"/>
      <c r="B427" s="58"/>
      <c r="C427" s="59"/>
      <c r="D427" s="60"/>
      <c r="E427" s="260" t="s">
        <v>229</v>
      </c>
      <c r="F427" s="260" t="s">
        <v>230</v>
      </c>
      <c r="G427" s="260" t="s">
        <v>231</v>
      </c>
      <c r="H427" s="260" t="s">
        <v>232</v>
      </c>
      <c r="I427" s="260" t="s">
        <v>233</v>
      </c>
      <c r="J427" s="260" t="s">
        <v>234</v>
      </c>
      <c r="K427" s="272"/>
    </row>
    <row r="428" spans="1:11" ht="15.75" x14ac:dyDescent="0.25">
      <c r="A428" s="69"/>
      <c r="B428" s="70" t="s">
        <v>830</v>
      </c>
      <c r="C428" s="77" t="s">
        <v>730</v>
      </c>
      <c r="D428" s="142"/>
      <c r="E428" s="73">
        <f>+E430+E439</f>
        <v>0</v>
      </c>
      <c r="F428" s="73">
        <f>F430+F439</f>
        <v>0</v>
      </c>
      <c r="G428" s="73">
        <f>G430+G439</f>
        <v>0</v>
      </c>
      <c r="H428" s="73">
        <f>H430+H439</f>
        <v>0</v>
      </c>
      <c r="I428" s="73">
        <v>0</v>
      </c>
      <c r="J428" s="199">
        <f>E428+F428+G428+H428</f>
        <v>0</v>
      </c>
      <c r="K428" s="197" t="e">
        <f>J428/J$175*100</f>
        <v>#REF!</v>
      </c>
    </row>
    <row r="429" spans="1:11" x14ac:dyDescent="0.2">
      <c r="A429" s="82"/>
      <c r="B429" s="94"/>
      <c r="C429" s="95"/>
      <c r="D429" s="145"/>
      <c r="E429" s="34"/>
      <c r="F429" s="34"/>
      <c r="G429" s="34"/>
      <c r="H429" s="34"/>
      <c r="I429" s="34"/>
      <c r="J429" s="34"/>
      <c r="K429" s="105"/>
    </row>
    <row r="430" spans="1:11" x14ac:dyDescent="0.2">
      <c r="A430" s="99">
        <v>500</v>
      </c>
      <c r="B430" s="100"/>
      <c r="C430" s="101" t="s">
        <v>732</v>
      </c>
      <c r="D430" s="149"/>
      <c r="E430" s="259">
        <f>+E432+E433+E434+E435+E437</f>
        <v>0</v>
      </c>
      <c r="F430" s="259">
        <f>+F432+F433+F434+F435+F437</f>
        <v>0</v>
      </c>
      <c r="G430" s="259">
        <f>+G432+G433+G434+G435+G437</f>
        <v>0</v>
      </c>
      <c r="H430" s="259">
        <f>+H432+H433+H434+H435+H437</f>
        <v>0</v>
      </c>
      <c r="I430" s="259">
        <f>+I432+I433+I434+I435+I437</f>
        <v>0</v>
      </c>
      <c r="J430" s="259">
        <f>+E430+F430+G430+H430-I430</f>
        <v>0</v>
      </c>
      <c r="K430" s="103"/>
    </row>
    <row r="431" spans="1:11" x14ac:dyDescent="0.2">
      <c r="A431" s="82"/>
      <c r="B431" s="94"/>
      <c r="C431" s="95"/>
      <c r="D431" s="145"/>
      <c r="E431" s="203"/>
      <c r="F431" s="34"/>
      <c r="G431" s="34"/>
      <c r="H431" s="34"/>
      <c r="I431" s="34"/>
      <c r="J431" s="203"/>
      <c r="K431" s="105"/>
    </row>
    <row r="432" spans="1:11" x14ac:dyDescent="0.2">
      <c r="A432" s="99">
        <v>5000</v>
      </c>
      <c r="B432" s="100"/>
      <c r="C432" s="101" t="s">
        <v>734</v>
      </c>
      <c r="D432" s="149"/>
      <c r="E432" s="202"/>
      <c r="F432" s="202"/>
      <c r="G432" s="202"/>
      <c r="H432" s="202"/>
      <c r="I432" s="202"/>
      <c r="J432" s="202"/>
      <c r="K432" s="103"/>
    </row>
    <row r="433" spans="1:11" x14ac:dyDescent="0.2">
      <c r="A433" s="99">
        <v>5001</v>
      </c>
      <c r="B433" s="100"/>
      <c r="C433" s="101" t="s">
        <v>736</v>
      </c>
      <c r="D433" s="149"/>
      <c r="E433" s="202"/>
      <c r="F433" s="202"/>
      <c r="G433" s="202"/>
      <c r="H433" s="202"/>
      <c r="I433" s="202"/>
      <c r="J433" s="202"/>
      <c r="K433" s="103"/>
    </row>
    <row r="434" spans="1:11" x14ac:dyDescent="0.2">
      <c r="A434" s="99">
        <v>5002</v>
      </c>
      <c r="B434" s="100"/>
      <c r="C434" s="101" t="s">
        <v>738</v>
      </c>
      <c r="D434" s="149"/>
      <c r="E434" s="202"/>
      <c r="F434" s="202"/>
      <c r="G434" s="202"/>
      <c r="H434" s="202"/>
      <c r="I434" s="202"/>
      <c r="J434" s="202"/>
      <c r="K434" s="103"/>
    </row>
    <row r="435" spans="1:11" x14ac:dyDescent="0.2">
      <c r="A435" s="99">
        <v>5003</v>
      </c>
      <c r="B435" s="100"/>
      <c r="C435" s="101" t="s">
        <v>740</v>
      </c>
      <c r="D435" s="149"/>
      <c r="E435" s="202"/>
      <c r="F435" s="202"/>
      <c r="G435" s="202"/>
      <c r="H435" s="202"/>
      <c r="I435" s="202"/>
      <c r="J435" s="202"/>
      <c r="K435" s="103"/>
    </row>
    <row r="436" spans="1:11" x14ac:dyDescent="0.2">
      <c r="A436" s="106">
        <v>500301</v>
      </c>
      <c r="B436" s="107"/>
      <c r="C436" s="108" t="s">
        <v>742</v>
      </c>
      <c r="D436" s="149"/>
      <c r="E436" s="202"/>
      <c r="F436" s="202"/>
      <c r="G436" s="202"/>
      <c r="H436" s="202"/>
      <c r="I436" s="202"/>
      <c r="J436" s="202"/>
      <c r="K436" s="103"/>
    </row>
    <row r="437" spans="1:11" x14ac:dyDescent="0.2">
      <c r="A437" s="99">
        <v>5004</v>
      </c>
      <c r="B437" s="100"/>
      <c r="C437" s="101" t="s">
        <v>744</v>
      </c>
      <c r="D437" s="149"/>
      <c r="E437" s="202"/>
      <c r="F437" s="202"/>
      <c r="G437" s="202"/>
      <c r="H437" s="202"/>
      <c r="I437" s="202"/>
      <c r="J437" s="202"/>
      <c r="K437" s="103"/>
    </row>
    <row r="438" spans="1:11" x14ac:dyDescent="0.2">
      <c r="A438" s="82"/>
      <c r="B438" s="94"/>
      <c r="C438" s="95"/>
      <c r="D438" s="145"/>
      <c r="E438" s="203"/>
      <c r="F438" s="34"/>
      <c r="G438" s="34"/>
      <c r="H438" s="34"/>
      <c r="I438" s="34"/>
      <c r="J438" s="203"/>
      <c r="K438" s="105"/>
    </row>
    <row r="439" spans="1:11" x14ac:dyDescent="0.2">
      <c r="A439" s="99">
        <v>501</v>
      </c>
      <c r="B439" s="100"/>
      <c r="C439" s="101" t="s">
        <v>746</v>
      </c>
      <c r="D439" s="149"/>
      <c r="E439" s="259">
        <f>+E441+E442+E443+E444+E445</f>
        <v>0</v>
      </c>
      <c r="F439" s="259">
        <f>+F441+F442+F443+F444+F445</f>
        <v>0</v>
      </c>
      <c r="G439" s="259">
        <f>+G441+G442+G443+G444+G445</f>
        <v>0</v>
      </c>
      <c r="H439" s="259">
        <f>+H441+H442+H443+H444+H445</f>
        <v>0</v>
      </c>
      <c r="I439" s="259">
        <f>+I441+I442+I443+I444+I445</f>
        <v>0</v>
      </c>
      <c r="J439" s="259">
        <f>+E439+F439+G439+H439-I439</f>
        <v>0</v>
      </c>
      <c r="K439" s="103"/>
    </row>
    <row r="440" spans="1:11" x14ac:dyDescent="0.2">
      <c r="A440" s="82"/>
      <c r="B440" s="94"/>
      <c r="C440" s="95"/>
      <c r="D440" s="145"/>
      <c r="E440" s="86"/>
      <c r="F440" s="34"/>
      <c r="G440" s="34"/>
      <c r="H440" s="34"/>
      <c r="I440" s="34"/>
      <c r="J440" s="34"/>
      <c r="K440" s="105"/>
    </row>
    <row r="441" spans="1:11" x14ac:dyDescent="0.2">
      <c r="A441" s="99">
        <v>5010</v>
      </c>
      <c r="B441" s="100"/>
      <c r="C441" s="101" t="s">
        <v>748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99">
        <v>5011</v>
      </c>
      <c r="B442" s="100"/>
      <c r="C442" s="101" t="s">
        <v>750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5012</v>
      </c>
      <c r="B443" s="100"/>
      <c r="C443" s="101" t="s">
        <v>752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99">
        <v>5013</v>
      </c>
      <c r="B444" s="100"/>
      <c r="C444" s="101" t="s">
        <v>754</v>
      </c>
      <c r="D444" s="149"/>
      <c r="E444" s="202"/>
      <c r="F444" s="202"/>
      <c r="G444" s="202"/>
      <c r="H444" s="202"/>
      <c r="I444" s="202"/>
      <c r="J444" s="202"/>
      <c r="K444" s="103"/>
    </row>
    <row r="445" spans="1:11" x14ac:dyDescent="0.2">
      <c r="A445" s="99">
        <v>5014</v>
      </c>
      <c r="B445" s="100"/>
      <c r="C445" s="101" t="s">
        <v>744</v>
      </c>
      <c r="D445" s="149"/>
      <c r="E445" s="202"/>
      <c r="F445" s="202"/>
      <c r="G445" s="202"/>
      <c r="H445" s="202"/>
      <c r="I445" s="202"/>
      <c r="J445" s="202"/>
      <c r="K445" s="103"/>
    </row>
    <row r="446" spans="1:11" ht="15.75" thickBot="1" x14ac:dyDescent="0.25">
      <c r="A446" s="207"/>
      <c r="B446" s="208"/>
      <c r="C446" s="209"/>
      <c r="D446" s="160"/>
      <c r="E446" s="161"/>
      <c r="F446" s="161"/>
      <c r="G446" s="161"/>
      <c r="H446" s="161"/>
      <c r="I446" s="161"/>
      <c r="J446" s="161"/>
      <c r="K446" s="166"/>
    </row>
    <row r="447" spans="1:11" ht="15.75" thickTop="1" x14ac:dyDescent="0.2">
      <c r="A447" s="135"/>
      <c r="B447" s="136"/>
      <c r="C447" s="137"/>
      <c r="D447" s="163"/>
      <c r="E447" s="164"/>
      <c r="F447" s="164"/>
      <c r="G447" s="164"/>
      <c r="H447" s="164"/>
      <c r="I447" s="66"/>
      <c r="J447" s="164"/>
      <c r="K447" s="198"/>
    </row>
    <row r="448" spans="1:11" ht="15.75" x14ac:dyDescent="0.25">
      <c r="A448" s="69"/>
      <c r="B448" s="70" t="s">
        <v>757</v>
      </c>
      <c r="C448" s="77" t="s">
        <v>758</v>
      </c>
      <c r="D448" s="142"/>
      <c r="E448" s="73">
        <f t="shared" ref="E448:J448" si="36">E450+E460</f>
        <v>0</v>
      </c>
      <c r="F448" s="73">
        <f t="shared" si="36"/>
        <v>0</v>
      </c>
      <c r="G448" s="73">
        <f t="shared" si="36"/>
        <v>0</v>
      </c>
      <c r="H448" s="73">
        <f t="shared" si="36"/>
        <v>0</v>
      </c>
      <c r="I448" s="73">
        <f t="shared" si="36"/>
        <v>0</v>
      </c>
      <c r="J448" s="199">
        <f t="shared" si="36"/>
        <v>0</v>
      </c>
      <c r="K448" s="197" t="e">
        <f>J448/J$175*100</f>
        <v>#REF!</v>
      </c>
    </row>
    <row r="449" spans="1:11" x14ac:dyDescent="0.2">
      <c r="A449" s="82"/>
      <c r="B449" s="94"/>
      <c r="C449" s="95"/>
      <c r="D449" s="145"/>
      <c r="E449" s="34"/>
      <c r="F449" s="34"/>
      <c r="G449" s="34"/>
      <c r="H449" s="34"/>
      <c r="I449" s="34"/>
      <c r="J449" s="34"/>
      <c r="K449" s="105"/>
    </row>
    <row r="450" spans="1:11" x14ac:dyDescent="0.2">
      <c r="A450" s="99">
        <v>550</v>
      </c>
      <c r="B450" s="100"/>
      <c r="C450" s="101" t="s">
        <v>760</v>
      </c>
      <c r="D450" s="149"/>
      <c r="E450" s="31">
        <f>+E452+E453+E454+E455+E457+E458</f>
        <v>0</v>
      </c>
      <c r="F450" s="31">
        <f>+F452+F453+F454+F455+F457+F458</f>
        <v>0</v>
      </c>
      <c r="G450" s="31">
        <f>+G452+G453+G454+G455+G457+G458</f>
        <v>0</v>
      </c>
      <c r="H450" s="31">
        <f>+H452+H453+H454+H455+H457+H458</f>
        <v>0</v>
      </c>
      <c r="I450" s="31">
        <f>+I452+I453+I454+I455+I457+I458</f>
        <v>0</v>
      </c>
      <c r="J450" s="31">
        <f>E450+F450+G450+H450-I450</f>
        <v>0</v>
      </c>
      <c r="K450" s="103" t="e">
        <f>J450/J$175*100</f>
        <v>#REF!</v>
      </c>
    </row>
    <row r="451" spans="1:11" x14ac:dyDescent="0.2">
      <c r="A451" s="82"/>
      <c r="B451" s="94"/>
      <c r="C451" s="95"/>
      <c r="D451" s="145"/>
      <c r="E451" s="34"/>
      <c r="F451" s="34"/>
      <c r="G451" s="34"/>
      <c r="H451" s="34"/>
      <c r="I451" s="34"/>
      <c r="J451" s="34"/>
      <c r="K451" s="150"/>
    </row>
    <row r="452" spans="1:11" x14ac:dyDescent="0.2">
      <c r="A452" s="99">
        <v>5500</v>
      </c>
      <c r="B452" s="100"/>
      <c r="C452" s="101" t="s">
        <v>762</v>
      </c>
      <c r="D452" s="149"/>
      <c r="E452" s="31"/>
      <c r="F452" s="31"/>
      <c r="G452" s="31">
        <v>0</v>
      </c>
      <c r="H452" s="31">
        <v>0</v>
      </c>
      <c r="I452" s="31">
        <v>0</v>
      </c>
      <c r="J452" s="31">
        <f>E452+F452+G452+H452</f>
        <v>0</v>
      </c>
      <c r="K452" s="103" t="e">
        <f>J452/J$175*100</f>
        <v>#REF!</v>
      </c>
    </row>
    <row r="453" spans="1:11" x14ac:dyDescent="0.2">
      <c r="A453" s="99">
        <v>5501</v>
      </c>
      <c r="B453" s="100"/>
      <c r="C453" s="101" t="s">
        <v>764</v>
      </c>
      <c r="D453" s="149"/>
      <c r="E453" s="31"/>
      <c r="F453" s="31"/>
      <c r="G453" s="31"/>
      <c r="H453" s="31">
        <v>0</v>
      </c>
      <c r="I453" s="31">
        <v>0</v>
      </c>
      <c r="J453" s="31">
        <f>E453+F453+G453+H453</f>
        <v>0</v>
      </c>
      <c r="K453" s="103" t="e">
        <f>J453/J$175*100</f>
        <v>#REF!</v>
      </c>
    </row>
    <row r="454" spans="1:11" x14ac:dyDescent="0.2">
      <c r="A454" s="99">
        <v>5502</v>
      </c>
      <c r="B454" s="100"/>
      <c r="C454" s="101" t="s">
        <v>766</v>
      </c>
      <c r="D454" s="149"/>
      <c r="E454" s="31"/>
      <c r="F454" s="31"/>
      <c r="G454" s="31">
        <v>0</v>
      </c>
      <c r="H454" s="31">
        <v>0</v>
      </c>
      <c r="I454" s="31">
        <v>0</v>
      </c>
      <c r="J454" s="31">
        <f>E454+F454+G454+H454</f>
        <v>0</v>
      </c>
      <c r="K454" s="103" t="e">
        <f>J454/J$175*100</f>
        <v>#REF!</v>
      </c>
    </row>
    <row r="455" spans="1:11" x14ac:dyDescent="0.2">
      <c r="A455" s="99">
        <v>5503</v>
      </c>
      <c r="B455" s="100"/>
      <c r="C455" s="101" t="s">
        <v>772</v>
      </c>
      <c r="D455" s="149"/>
      <c r="E455" s="31"/>
      <c r="F455" s="31"/>
      <c r="G455" s="31">
        <v>0</v>
      </c>
      <c r="H455" s="31">
        <v>0</v>
      </c>
      <c r="I455" s="31">
        <v>0</v>
      </c>
      <c r="J455" s="31">
        <f>E455+F455+G455+H455</f>
        <v>0</v>
      </c>
      <c r="K455" s="103" t="e">
        <f>J455/J$175*100</f>
        <v>#REF!</v>
      </c>
    </row>
    <row r="456" spans="1:11" x14ac:dyDescent="0.2">
      <c r="A456" s="210"/>
      <c r="B456" s="107"/>
      <c r="C456" s="154" t="s">
        <v>831</v>
      </c>
      <c r="D456" s="153"/>
      <c r="E456" s="109">
        <v>0</v>
      </c>
      <c r="F456" s="109">
        <v>0</v>
      </c>
      <c r="G456" s="109">
        <v>0</v>
      </c>
      <c r="H456" s="109">
        <v>0</v>
      </c>
      <c r="I456" s="109"/>
      <c r="J456" s="109">
        <v>0</v>
      </c>
      <c r="K456" s="103"/>
    </row>
    <row r="457" spans="1:11" x14ac:dyDescent="0.2">
      <c r="A457" s="106">
        <v>5505</v>
      </c>
      <c r="B457" s="107"/>
      <c r="C457" s="108" t="s">
        <v>802</v>
      </c>
      <c r="D457" s="153"/>
      <c r="E457" s="109">
        <f>H369</f>
        <v>0</v>
      </c>
      <c r="F457" s="109">
        <v>0</v>
      </c>
      <c r="G457" s="109">
        <v>0</v>
      </c>
      <c r="H457" s="109">
        <v>0</v>
      </c>
      <c r="I457" s="109">
        <f>+E457</f>
        <v>0</v>
      </c>
      <c r="J457" s="109">
        <f>E457+F457+G457+H457-I457</f>
        <v>0</v>
      </c>
      <c r="K457" s="103"/>
    </row>
    <row r="458" spans="1:11" x14ac:dyDescent="0.2">
      <c r="A458" s="99">
        <v>5504</v>
      </c>
      <c r="B458" s="100"/>
      <c r="C458" s="101" t="s">
        <v>775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J458/J$175*100</f>
        <v>#REF!</v>
      </c>
    </row>
    <row r="459" spans="1:11" x14ac:dyDescent="0.2">
      <c r="A459" s="82"/>
      <c r="B459" s="94"/>
      <c r="C459" s="95"/>
      <c r="D459" s="145"/>
      <c r="E459" s="34"/>
      <c r="F459" s="34"/>
      <c r="G459" s="34"/>
      <c r="H459" s="34"/>
      <c r="I459" s="34"/>
      <c r="J459" s="34"/>
      <c r="K459" s="105"/>
    </row>
    <row r="460" spans="1:11" x14ac:dyDescent="0.2">
      <c r="A460" s="99">
        <v>551</v>
      </c>
      <c r="B460" s="100"/>
      <c r="C460" s="101" t="s">
        <v>777</v>
      </c>
      <c r="D460" s="149"/>
      <c r="E460" s="31">
        <f>SUM(E462:E466)</f>
        <v>0</v>
      </c>
      <c r="F460" s="31">
        <f>SUM(F462:F466)</f>
        <v>0</v>
      </c>
      <c r="G460" s="31">
        <f>SUM(G462:G466)</f>
        <v>0</v>
      </c>
      <c r="H460" s="31">
        <f>SUM(H462:H466)</f>
        <v>0</v>
      </c>
      <c r="I460" s="31">
        <f>SUM(I462:I465)</f>
        <v>0</v>
      </c>
      <c r="J460" s="31">
        <f>E460+F460+G460+H460</f>
        <v>0</v>
      </c>
      <c r="K460" s="103" t="e">
        <f>J460/J$175*100</f>
        <v>#REF!</v>
      </c>
    </row>
    <row r="461" spans="1:11" x14ac:dyDescent="0.2">
      <c r="A461" s="82"/>
      <c r="B461" s="94"/>
      <c r="C461" s="95"/>
      <c r="D461" s="145"/>
      <c r="E461" s="34"/>
      <c r="F461" s="34"/>
      <c r="G461" s="34"/>
      <c r="H461" s="34"/>
      <c r="I461" s="34"/>
      <c r="J461" s="34"/>
      <c r="K461" s="150"/>
    </row>
    <row r="462" spans="1:11" x14ac:dyDescent="0.2">
      <c r="A462" s="99">
        <v>5510</v>
      </c>
      <c r="B462" s="100"/>
      <c r="C462" s="101" t="s">
        <v>779</v>
      </c>
      <c r="D462" s="149"/>
      <c r="E462" s="31"/>
      <c r="F462" s="31">
        <v>0</v>
      </c>
      <c r="G462" s="31">
        <v>0</v>
      </c>
      <c r="H462" s="31">
        <v>0</v>
      </c>
      <c r="I462" s="31">
        <v>0</v>
      </c>
      <c r="J462" s="31">
        <f>E462+F462+G462+H462</f>
        <v>0</v>
      </c>
      <c r="K462" s="103" t="e">
        <f>J462/J$175*100</f>
        <v>#REF!</v>
      </c>
    </row>
    <row r="463" spans="1:11" x14ac:dyDescent="0.2">
      <c r="A463" s="99">
        <v>5511</v>
      </c>
      <c r="B463" s="100"/>
      <c r="C463" s="101" t="s">
        <v>781</v>
      </c>
      <c r="D463" s="149"/>
      <c r="E463" s="31"/>
      <c r="F463" s="31">
        <v>0</v>
      </c>
      <c r="G463" s="31">
        <v>0</v>
      </c>
      <c r="H463" s="31">
        <v>0</v>
      </c>
      <c r="I463" s="31">
        <v>0</v>
      </c>
      <c r="J463" s="31">
        <f>E463+F463+G463+H463</f>
        <v>0</v>
      </c>
      <c r="K463" s="103" t="e">
        <f>J463/J$175*100</f>
        <v>#REF!</v>
      </c>
    </row>
    <row r="464" spans="1:11" x14ac:dyDescent="0.2">
      <c r="A464" s="99">
        <v>5512</v>
      </c>
      <c r="B464" s="100"/>
      <c r="C464" s="101" t="s">
        <v>783</v>
      </c>
      <c r="D464" s="149"/>
      <c r="E464" s="31"/>
      <c r="F464" s="31">
        <v>0</v>
      </c>
      <c r="G464" s="31">
        <v>0</v>
      </c>
      <c r="H464" s="31">
        <v>0</v>
      </c>
      <c r="I464" s="31">
        <v>0</v>
      </c>
      <c r="J464" s="31">
        <f>E464+F464+G464+H464</f>
        <v>0</v>
      </c>
      <c r="K464" s="103" t="e">
        <f>J464/J$175*100</f>
        <v>#REF!</v>
      </c>
    </row>
    <row r="465" spans="1:11" x14ac:dyDescent="0.2">
      <c r="A465" s="99">
        <v>5513</v>
      </c>
      <c r="B465" s="100"/>
      <c r="C465" s="101" t="s">
        <v>785</v>
      </c>
      <c r="D465" s="149"/>
      <c r="E465" s="31"/>
      <c r="F465" s="31">
        <v>0</v>
      </c>
      <c r="G465" s="31">
        <v>0</v>
      </c>
      <c r="H465" s="31">
        <v>0</v>
      </c>
      <c r="I465" s="31">
        <v>0</v>
      </c>
      <c r="J465" s="31">
        <f>E465+F465+G465+H465</f>
        <v>0</v>
      </c>
      <c r="K465" s="103" t="e">
        <f>J465/J$175*100</f>
        <v>#REF!</v>
      </c>
    </row>
    <row r="466" spans="1:11" x14ac:dyDescent="0.2">
      <c r="A466" s="99">
        <v>5514</v>
      </c>
      <c r="B466" s="100"/>
      <c r="C466" s="101" t="s">
        <v>836</v>
      </c>
      <c r="D466" s="149"/>
      <c r="E466" s="31"/>
      <c r="F466" s="31">
        <v>0</v>
      </c>
      <c r="G466" s="31">
        <v>0</v>
      </c>
      <c r="H466" s="31">
        <v>0</v>
      </c>
      <c r="I466" s="31">
        <v>0</v>
      </c>
      <c r="J466" s="31">
        <f>E466+F466+G466+H466</f>
        <v>0</v>
      </c>
      <c r="K466" s="103" t="e">
        <f>J466/J$175*100</f>
        <v>#REF!</v>
      </c>
    </row>
    <row r="467" spans="1:11" ht="15.75" thickBot="1" x14ac:dyDescent="0.25">
      <c r="A467" s="120"/>
      <c r="B467" s="121"/>
      <c r="C467" s="122"/>
      <c r="D467" s="160"/>
      <c r="E467" s="161"/>
      <c r="F467" s="161"/>
      <c r="G467" s="161"/>
      <c r="H467" s="161"/>
      <c r="I467" s="161"/>
      <c r="J467" s="161"/>
      <c r="K467" s="162"/>
    </row>
    <row r="468" spans="1:11" ht="16.5" thickTop="1" x14ac:dyDescent="0.25">
      <c r="A468" s="211"/>
      <c r="B468" s="212" t="s">
        <v>803</v>
      </c>
      <c r="C468" s="213" t="s">
        <v>789</v>
      </c>
      <c r="D468" s="214"/>
      <c r="E468" s="215"/>
      <c r="F468" s="215"/>
      <c r="G468" s="215"/>
      <c r="H468" s="215"/>
      <c r="I468" s="215"/>
      <c r="J468" s="215"/>
      <c r="K468" s="216"/>
    </row>
    <row r="469" spans="1:11" ht="16.5" thickBot="1" x14ac:dyDescent="0.3">
      <c r="A469" s="217"/>
      <c r="B469" s="218"/>
      <c r="C469" s="219" t="s">
        <v>804</v>
      </c>
      <c r="D469" s="220"/>
      <c r="E469" s="221">
        <f t="shared" ref="E469:J469" si="37">E22+E361+E428-E178-E383-E448</f>
        <v>0</v>
      </c>
      <c r="F469" s="221">
        <f t="shared" si="37"/>
        <v>0</v>
      </c>
      <c r="G469" s="221">
        <f t="shared" si="37"/>
        <v>0</v>
      </c>
      <c r="H469" s="221">
        <f t="shared" si="37"/>
        <v>0</v>
      </c>
      <c r="I469" s="221">
        <f t="shared" si="37"/>
        <v>0</v>
      </c>
      <c r="J469" s="222">
        <f t="shared" si="37"/>
        <v>0</v>
      </c>
      <c r="K469" s="223" t="e">
        <f>J469/J$175*100</f>
        <v>#REF!</v>
      </c>
    </row>
    <row r="470" spans="1:11" ht="16.5" thickTop="1" x14ac:dyDescent="0.25">
      <c r="A470" s="211"/>
      <c r="B470" s="212"/>
      <c r="C470" s="213"/>
      <c r="D470" s="214"/>
      <c r="E470" s="215"/>
      <c r="F470" s="215"/>
      <c r="G470" s="215"/>
      <c r="H470" s="215"/>
      <c r="I470" s="215"/>
      <c r="J470" s="224"/>
      <c r="K470" s="225"/>
    </row>
    <row r="471" spans="1:11" ht="16.5" thickBot="1" x14ac:dyDescent="0.3">
      <c r="A471" s="226"/>
      <c r="B471" s="227" t="s">
        <v>787</v>
      </c>
      <c r="C471" s="228" t="s">
        <v>805</v>
      </c>
      <c r="D471" s="229"/>
      <c r="E471" s="230">
        <f t="shared" ref="E471:J471" si="38">E411+E428-E448-E469</f>
        <v>0</v>
      </c>
      <c r="F471" s="230">
        <f t="shared" si="38"/>
        <v>0</v>
      </c>
      <c r="G471" s="230">
        <f t="shared" si="38"/>
        <v>0</v>
      </c>
      <c r="H471" s="230">
        <f t="shared" si="38"/>
        <v>0</v>
      </c>
      <c r="I471" s="230">
        <f t="shared" si="38"/>
        <v>0</v>
      </c>
      <c r="J471" s="231">
        <f t="shared" si="38"/>
        <v>0</v>
      </c>
      <c r="K471" s="232" t="e">
        <f>J471/J$175*100</f>
        <v>#REF!</v>
      </c>
    </row>
    <row r="472" spans="1:11" ht="15.75" thickTop="1" x14ac:dyDescent="0.2">
      <c r="A472" s="53"/>
      <c r="B472" s="53"/>
      <c r="C472" s="54"/>
      <c r="D472" s="54"/>
      <c r="E472" s="51"/>
      <c r="F472" s="51"/>
      <c r="G472" s="51"/>
      <c r="H472" s="51"/>
      <c r="I472" s="51"/>
      <c r="J472" s="51"/>
      <c r="K472" s="5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pageSetUpPr fitToPage="1"/>
  </sheetPr>
  <dimension ref="A1:P386"/>
  <sheetViews>
    <sheetView tabSelected="1" zoomScale="60" zoomScaleNormal="60" zoomScaleSheetLayoutView="40" workbookViewId="0">
      <pane xSplit="4" ySplit="17" topLeftCell="E18" activePane="bottomRight" state="frozen"/>
      <selection pane="topRight" activeCell="E1" sqref="E1"/>
      <selection pane="bottomLeft" activeCell="A16" sqref="A16"/>
      <selection pane="bottomRight" activeCell="C21" sqref="C21"/>
    </sheetView>
  </sheetViews>
  <sheetFormatPr defaultRowHeight="15" x14ac:dyDescent="0.2"/>
  <cols>
    <col min="1" max="1" width="10.6640625" style="443" bestFit="1" customWidth="1"/>
    <col min="2" max="2" width="6.5546875" style="444" bestFit="1" customWidth="1"/>
    <col min="3" max="3" width="56" style="445" customWidth="1"/>
    <col min="4" max="4" width="58.5546875" style="445" hidden="1" customWidth="1"/>
    <col min="5" max="7" width="16.6640625" style="443" bestFit="1" customWidth="1"/>
    <col min="8" max="12" width="16.6640625" style="443" customWidth="1"/>
    <col min="13" max="13" width="15.44140625" style="443" bestFit="1" customWidth="1"/>
    <col min="14" max="15" width="14.6640625" style="443" customWidth="1"/>
    <col min="16" max="16384" width="8.88671875" style="438"/>
  </cols>
  <sheetData>
    <row r="1" spans="1:16" s="576" customFormat="1" ht="18" x14ac:dyDescent="0.25">
      <c r="A1" s="573"/>
      <c r="B1" s="574"/>
      <c r="C1" s="575" t="s">
        <v>12</v>
      </c>
      <c r="D1" s="575" t="s">
        <v>656</v>
      </c>
      <c r="E1" s="573"/>
      <c r="F1" s="573"/>
      <c r="G1" s="573"/>
      <c r="H1" s="573"/>
      <c r="I1" s="573"/>
      <c r="J1" s="573"/>
      <c r="K1" s="573"/>
      <c r="L1" s="573"/>
      <c r="M1" s="573"/>
      <c r="N1" s="573"/>
      <c r="O1" s="573"/>
      <c r="P1" s="576" t="s">
        <v>1044</v>
      </c>
    </row>
    <row r="2" spans="1:16" s="576" customFormat="1" ht="18" x14ac:dyDescent="0.25">
      <c r="A2" s="573"/>
      <c r="B2" s="574"/>
      <c r="C2" s="575" t="s">
        <v>13</v>
      </c>
      <c r="D2" s="575" t="s">
        <v>657</v>
      </c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</row>
    <row r="3" spans="1:16" x14ac:dyDescent="0.2">
      <c r="A3" s="445"/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73"/>
      <c r="M3" s="473"/>
      <c r="N3" s="473"/>
      <c r="O3" s="473"/>
    </row>
    <row r="4" spans="1:16" x14ac:dyDescent="0.2">
      <c r="A4" s="438"/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</row>
    <row r="5" spans="1:16" s="493" customFormat="1" ht="33.75" x14ac:dyDescent="0.5">
      <c r="A5" s="570"/>
      <c r="B5" s="570"/>
      <c r="C5" s="571" t="s">
        <v>127</v>
      </c>
      <c r="D5" s="571" t="s">
        <v>1038</v>
      </c>
      <c r="E5" s="570"/>
      <c r="F5" s="570"/>
      <c r="G5" s="570"/>
      <c r="H5" s="570"/>
      <c r="I5" s="570"/>
      <c r="J5" s="570"/>
      <c r="K5" s="570"/>
      <c r="L5" s="570"/>
      <c r="M5" s="570"/>
      <c r="N5" s="570"/>
      <c r="O5" s="570"/>
    </row>
    <row r="6" spans="1:16" s="493" customFormat="1" ht="26.25" x14ac:dyDescent="0.4">
      <c r="A6" s="570"/>
      <c r="B6" s="570"/>
      <c r="C6" s="570" t="s">
        <v>11</v>
      </c>
      <c r="D6" s="570" t="s">
        <v>1039</v>
      </c>
      <c r="E6" s="570"/>
      <c r="F6" s="570"/>
      <c r="G6" s="570"/>
      <c r="H6" s="570"/>
      <c r="I6" s="570"/>
      <c r="J6" s="570"/>
      <c r="K6" s="570"/>
      <c r="L6" s="570"/>
      <c r="M6" s="570"/>
      <c r="N6" s="570"/>
      <c r="O6" s="570"/>
    </row>
    <row r="7" spans="1:16" x14ac:dyDescent="0.2">
      <c r="A7" s="572"/>
      <c r="B7" s="572"/>
      <c r="C7" s="572"/>
      <c r="D7" s="572"/>
      <c r="E7" s="572"/>
      <c r="F7" s="572"/>
      <c r="G7" s="572"/>
      <c r="H7" s="572"/>
      <c r="I7" s="572"/>
      <c r="J7" s="572"/>
      <c r="K7" s="572"/>
      <c r="L7" s="572"/>
      <c r="M7" s="572"/>
      <c r="N7" s="572"/>
      <c r="O7" s="572"/>
    </row>
    <row r="8" spans="1:16" ht="20.25" x14ac:dyDescent="0.3">
      <c r="A8" s="569"/>
      <c r="B8" s="471" t="s">
        <v>793</v>
      </c>
      <c r="C8" s="471" t="s">
        <v>769</v>
      </c>
      <c r="D8" s="471" t="s">
        <v>768</v>
      </c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</row>
    <row r="9" spans="1:16" ht="21" thickBot="1" x14ac:dyDescent="0.35">
      <c r="A9" s="457"/>
      <c r="B9" s="457"/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</row>
    <row r="10" spans="1:16" s="517" customFormat="1" ht="16.5" thickTop="1" x14ac:dyDescent="0.25">
      <c r="A10" s="512"/>
      <c r="B10" s="513"/>
      <c r="C10" s="514"/>
      <c r="D10" s="514"/>
      <c r="E10" s="515"/>
      <c r="F10" s="515"/>
      <c r="G10" s="515"/>
      <c r="H10" s="515"/>
      <c r="I10" s="515"/>
      <c r="J10" s="515"/>
      <c r="K10" s="515"/>
      <c r="L10" s="515"/>
      <c r="M10" s="516"/>
      <c r="N10" s="516"/>
      <c r="O10" s="516"/>
    </row>
    <row r="11" spans="1:16" s="517" customFormat="1" ht="15.75" x14ac:dyDescent="0.25">
      <c r="A11" s="518"/>
      <c r="B11" s="519"/>
      <c r="C11" s="520"/>
      <c r="D11" s="520"/>
      <c r="E11" s="521"/>
      <c r="F11" s="521"/>
      <c r="G11" s="521"/>
      <c r="H11" s="521"/>
      <c r="I11" s="521"/>
      <c r="J11" s="521"/>
      <c r="K11" s="521"/>
      <c r="L11" s="521"/>
      <c r="M11" s="522" t="s">
        <v>610</v>
      </c>
      <c r="N11" s="522" t="s">
        <v>611</v>
      </c>
      <c r="O11" s="522" t="s">
        <v>612</v>
      </c>
    </row>
    <row r="12" spans="1:16" s="517" customFormat="1" ht="20.25" x14ac:dyDescent="0.3">
      <c r="A12" s="518"/>
      <c r="B12" s="519"/>
      <c r="C12" s="520" t="s">
        <v>1018</v>
      </c>
      <c r="D12" s="520"/>
      <c r="E12" s="523" t="s">
        <v>227</v>
      </c>
      <c r="F12" s="523" t="s">
        <v>795</v>
      </c>
      <c r="G12" s="523" t="s">
        <v>796</v>
      </c>
      <c r="H12" s="523" t="s">
        <v>797</v>
      </c>
      <c r="I12" s="523" t="s">
        <v>798</v>
      </c>
      <c r="J12" s="523" t="s">
        <v>799</v>
      </c>
      <c r="K12" s="523" t="s">
        <v>800</v>
      </c>
      <c r="L12" s="523" t="s">
        <v>808</v>
      </c>
      <c r="M12" s="522">
        <v>2000</v>
      </c>
      <c r="N12" s="522">
        <v>2000</v>
      </c>
      <c r="O12" s="522">
        <v>2000</v>
      </c>
    </row>
    <row r="13" spans="1:16" s="517" customFormat="1" ht="16.5" thickBot="1" x14ac:dyDescent="0.3">
      <c r="A13" s="524"/>
      <c r="B13" s="525"/>
      <c r="C13" s="526"/>
      <c r="D13" s="526"/>
      <c r="E13" s="527"/>
      <c r="F13" s="527"/>
      <c r="G13" s="527"/>
      <c r="H13" s="527"/>
      <c r="I13" s="527"/>
      <c r="J13" s="527"/>
      <c r="K13" s="529"/>
      <c r="L13" s="527"/>
      <c r="M13" s="528"/>
      <c r="N13" s="528"/>
      <c r="O13" s="528"/>
    </row>
    <row r="14" spans="1:16" s="535" customFormat="1" ht="17.25" hidden="1" thickTop="1" thickBot="1" x14ac:dyDescent="0.3">
      <c r="A14" s="530"/>
      <c r="B14" s="531"/>
      <c r="C14" s="532"/>
      <c r="D14" s="532"/>
      <c r="E14" s="533"/>
      <c r="F14" s="533"/>
      <c r="G14" s="533"/>
      <c r="H14" s="533"/>
      <c r="I14" s="533"/>
      <c r="J14" s="533"/>
      <c r="K14" s="533"/>
      <c r="L14" s="533"/>
      <c r="M14" s="534"/>
      <c r="N14" s="534"/>
      <c r="O14" s="534"/>
    </row>
    <row r="15" spans="1:16" s="535" customFormat="1" ht="16.5" hidden="1" thickBot="1" x14ac:dyDescent="0.3">
      <c r="A15" s="536"/>
      <c r="B15" s="537"/>
      <c r="C15" s="538"/>
      <c r="D15" s="538"/>
      <c r="E15" s="539"/>
      <c r="F15" s="539"/>
      <c r="G15" s="539"/>
      <c r="H15" s="539"/>
      <c r="I15" s="539"/>
      <c r="J15" s="539"/>
      <c r="K15" s="539"/>
      <c r="L15" s="539"/>
      <c r="M15" s="540" t="s">
        <v>141</v>
      </c>
      <c r="N15" s="540" t="s">
        <v>142</v>
      </c>
      <c r="O15" s="540" t="s">
        <v>143</v>
      </c>
    </row>
    <row r="16" spans="1:16" s="535" customFormat="1" ht="21" hidden="1" thickBot="1" x14ac:dyDescent="0.35">
      <c r="A16" s="536"/>
      <c r="B16" s="537"/>
      <c r="C16" s="538"/>
      <c r="D16" s="538" t="s">
        <v>1019</v>
      </c>
      <c r="E16" s="541" t="s">
        <v>227</v>
      </c>
      <c r="F16" s="541" t="s">
        <v>795</v>
      </c>
      <c r="G16" s="541" t="s">
        <v>796</v>
      </c>
      <c r="H16" s="541" t="s">
        <v>797</v>
      </c>
      <c r="I16" s="541" t="s">
        <v>798</v>
      </c>
      <c r="J16" s="541" t="s">
        <v>799</v>
      </c>
      <c r="K16" s="523" t="s">
        <v>800</v>
      </c>
      <c r="L16" s="523" t="s">
        <v>808</v>
      </c>
      <c r="M16" s="522">
        <v>2000</v>
      </c>
      <c r="N16" s="522">
        <v>2000</v>
      </c>
      <c r="O16" s="522">
        <v>2000</v>
      </c>
    </row>
    <row r="17" spans="1:15" s="535" customFormat="1" ht="16.5" hidden="1" thickBot="1" x14ac:dyDescent="0.3">
      <c r="A17" s="542"/>
      <c r="B17" s="543"/>
      <c r="C17" s="544"/>
      <c r="D17" s="544"/>
      <c r="E17" s="545"/>
      <c r="F17" s="545"/>
      <c r="G17" s="545"/>
      <c r="H17" s="545"/>
      <c r="I17" s="545"/>
      <c r="J17" s="545"/>
      <c r="K17" s="545"/>
      <c r="L17" s="545"/>
      <c r="M17" s="546"/>
      <c r="N17" s="546"/>
      <c r="O17" s="546"/>
    </row>
    <row r="18" spans="1:15" ht="15.75" thickTop="1" x14ac:dyDescent="0.2">
      <c r="A18" s="448"/>
      <c r="B18" s="449"/>
      <c r="C18" s="450"/>
      <c r="D18" s="450"/>
      <c r="E18" s="550"/>
      <c r="F18" s="550"/>
      <c r="G18" s="550"/>
      <c r="H18" s="550"/>
      <c r="I18" s="550"/>
      <c r="J18" s="550"/>
      <c r="K18" s="550"/>
      <c r="L18" s="550"/>
      <c r="M18" s="568"/>
      <c r="N18" s="568"/>
      <c r="O18" s="568"/>
    </row>
    <row r="19" spans="1:15" s="494" customFormat="1" ht="20.25" x14ac:dyDescent="0.3">
      <c r="A19" s="477">
        <v>7</v>
      </c>
      <c r="B19" s="468" t="s">
        <v>235</v>
      </c>
      <c r="C19" s="469" t="s">
        <v>146</v>
      </c>
      <c r="D19" s="469" t="s">
        <v>147</v>
      </c>
      <c r="E19" s="551">
        <f t="shared" ref="E19:O19" si="0">E21+E85+E102+E116</f>
        <v>1925795822.9010186</v>
      </c>
      <c r="F19" s="551">
        <f t="shared" si="0"/>
        <v>2778629619.4291434</v>
      </c>
      <c r="G19" s="551">
        <f t="shared" si="0"/>
        <v>3469506213.4868975</v>
      </c>
      <c r="H19" s="551">
        <f t="shared" si="0"/>
        <v>4176569637.7900186</v>
      </c>
      <c r="I19" s="551">
        <f t="shared" si="0"/>
        <v>4739604081.1216831</v>
      </c>
      <c r="J19" s="551">
        <f t="shared" si="0"/>
        <v>5299943815.7235851</v>
      </c>
      <c r="K19" s="551">
        <f t="shared" si="0"/>
        <v>6053355704.3899183</v>
      </c>
      <c r="L19" s="551">
        <f t="shared" si="0"/>
        <v>6877160998.998498</v>
      </c>
      <c r="M19" s="551">
        <f t="shared" si="0"/>
        <v>388381600.0499084</v>
      </c>
      <c r="N19" s="551">
        <f t="shared" si="0"/>
        <v>531849625.49470055</v>
      </c>
      <c r="O19" s="551">
        <f t="shared" si="0"/>
        <v>632796174.73585379</v>
      </c>
    </row>
    <row r="20" spans="1:15" ht="20.25" x14ac:dyDescent="0.3">
      <c r="A20" s="458"/>
      <c r="B20" s="459"/>
      <c r="C20" s="460"/>
      <c r="D20" s="460"/>
      <c r="E20" s="476"/>
      <c r="F20" s="476"/>
      <c r="G20" s="476"/>
      <c r="H20" s="476"/>
      <c r="I20" s="476"/>
      <c r="J20" s="476"/>
      <c r="K20" s="476"/>
      <c r="L20" s="476"/>
      <c r="M20" s="476"/>
      <c r="N20" s="476"/>
      <c r="O20" s="476"/>
    </row>
    <row r="21" spans="1:15" ht="20.25" x14ac:dyDescent="0.3">
      <c r="A21" s="458"/>
      <c r="B21" s="459"/>
      <c r="C21" s="460" t="s">
        <v>1045</v>
      </c>
      <c r="D21" s="460" t="s">
        <v>240</v>
      </c>
      <c r="E21" s="476">
        <f t="shared" ref="E21:O21" si="1">E23+E64</f>
        <v>1918199019.3623774</v>
      </c>
      <c r="F21" s="476">
        <f t="shared" si="1"/>
        <v>2772489150.3922548</v>
      </c>
      <c r="G21" s="476">
        <f t="shared" si="1"/>
        <v>3462856918.7114005</v>
      </c>
      <c r="H21" s="476">
        <f t="shared" si="1"/>
        <v>4166569621.0983143</v>
      </c>
      <c r="I21" s="476">
        <f t="shared" si="1"/>
        <v>4727929373.2265072</v>
      </c>
      <c r="J21" s="476">
        <f t="shared" si="1"/>
        <v>5276723063.76231</v>
      </c>
      <c r="K21" s="476">
        <f t="shared" si="1"/>
        <v>6024477800.0333834</v>
      </c>
      <c r="L21" s="476">
        <f t="shared" si="1"/>
        <v>6832250954.7654819</v>
      </c>
      <c r="M21" s="476">
        <f t="shared" si="1"/>
        <v>381579671.2968204</v>
      </c>
      <c r="N21" s="476">
        <f t="shared" si="1"/>
        <v>525605042.14876497</v>
      </c>
      <c r="O21" s="476">
        <f t="shared" si="1"/>
        <v>627941461.68552828</v>
      </c>
    </row>
    <row r="22" spans="1:15" x14ac:dyDescent="0.2">
      <c r="A22" s="436"/>
      <c r="B22" s="437"/>
      <c r="C22" s="421"/>
      <c r="D22" s="421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</row>
    <row r="23" spans="1:15" ht="20.25" x14ac:dyDescent="0.3">
      <c r="A23" s="458">
        <v>70</v>
      </c>
      <c r="B23" s="459"/>
      <c r="C23" s="460" t="s">
        <v>156</v>
      </c>
      <c r="D23" s="460" t="s">
        <v>243</v>
      </c>
      <c r="E23" s="476">
        <f t="shared" ref="E23:O23" si="2">E25+E30+E36+E40+E46+E57+E61</f>
        <v>1805270180.270406</v>
      </c>
      <c r="F23" s="476">
        <f t="shared" si="2"/>
        <v>2619368506.9270568</v>
      </c>
      <c r="G23" s="476">
        <f t="shared" si="2"/>
        <v>3341070221.9996662</v>
      </c>
      <c r="H23" s="476">
        <f t="shared" si="2"/>
        <v>4001897517.1089969</v>
      </c>
      <c r="I23" s="476">
        <f t="shared" si="2"/>
        <v>4491191207.6448011</v>
      </c>
      <c r="J23" s="476">
        <f t="shared" si="2"/>
        <v>5022491770.9898176</v>
      </c>
      <c r="K23" s="476">
        <f t="shared" si="2"/>
        <v>5656300300.450676</v>
      </c>
      <c r="L23" s="476">
        <f t="shared" si="2"/>
        <v>6499147454.5151062</v>
      </c>
      <c r="M23" s="476">
        <f t="shared" si="2"/>
        <v>359516431.10286278</v>
      </c>
      <c r="N23" s="476">
        <f t="shared" si="2"/>
        <v>503304382.15068454</v>
      </c>
      <c r="O23" s="476">
        <f t="shared" si="2"/>
        <v>597928691.15673506</v>
      </c>
    </row>
    <row r="24" spans="1:15" x14ac:dyDescent="0.2">
      <c r="A24" s="436"/>
      <c r="B24" s="437"/>
      <c r="C24" s="421" t="s">
        <v>1028</v>
      </c>
      <c r="D24" s="421" t="s">
        <v>1028</v>
      </c>
      <c r="E24" s="442"/>
      <c r="F24" s="442"/>
      <c r="G24" s="442"/>
      <c r="H24" s="442"/>
      <c r="I24" s="442"/>
      <c r="J24" s="442"/>
      <c r="K24" s="442"/>
      <c r="L24" s="442"/>
      <c r="M24" s="442"/>
      <c r="N24" s="442"/>
      <c r="O24" s="442"/>
    </row>
    <row r="25" spans="1:15" ht="18" x14ac:dyDescent="0.25">
      <c r="A25" s="461">
        <v>700</v>
      </c>
      <c r="B25" s="462"/>
      <c r="C25" s="463" t="s">
        <v>245</v>
      </c>
      <c r="D25" s="463" t="s">
        <v>246</v>
      </c>
      <c r="E25" s="474">
        <f t="shared" ref="E25:O25" si="3">E26+E27</f>
        <v>313892163.24486732</v>
      </c>
      <c r="F25" s="474">
        <f t="shared" si="3"/>
        <v>437196140.04339844</v>
      </c>
      <c r="G25" s="474">
        <f t="shared" si="3"/>
        <v>587657911.86780179</v>
      </c>
      <c r="H25" s="474">
        <f t="shared" si="3"/>
        <v>669210791.18678021</v>
      </c>
      <c r="I25" s="474">
        <f t="shared" si="3"/>
        <v>821775521.61575699</v>
      </c>
      <c r="J25" s="474">
        <f t="shared" si="3"/>
        <v>949856730.92972791</v>
      </c>
      <c r="K25" s="474">
        <f t="shared" si="3"/>
        <v>1055481705.8921716</v>
      </c>
      <c r="L25" s="474">
        <f t="shared" si="3"/>
        <v>1142622358.5378067</v>
      </c>
      <c r="M25" s="474">
        <f t="shared" si="3"/>
        <v>95600912.887205839</v>
      </c>
      <c r="N25" s="474">
        <f t="shared" si="3"/>
        <v>92891629.89313136</v>
      </c>
      <c r="O25" s="474">
        <f t="shared" si="3"/>
        <v>108066649.52040562</v>
      </c>
    </row>
    <row r="26" spans="1:15" ht="15.75" x14ac:dyDescent="0.25">
      <c r="A26" s="419">
        <v>7000</v>
      </c>
      <c r="B26" s="420"/>
      <c r="C26" s="418" t="s">
        <v>247</v>
      </c>
      <c r="D26" s="418" t="s">
        <v>282</v>
      </c>
      <c r="E26" s="466">
        <v>289091341.17843431</v>
      </c>
      <c r="F26" s="466">
        <v>409405374.72875983</v>
      </c>
      <c r="G26" s="466">
        <v>525089334.00100154</v>
      </c>
      <c r="H26" s="466">
        <v>615209501.75262892</v>
      </c>
      <c r="I26" s="466">
        <v>728755020.03004503</v>
      </c>
      <c r="J26" s="466">
        <v>809806622.43365049</v>
      </c>
      <c r="K26" s="466">
        <v>890261091.63745618</v>
      </c>
      <c r="L26" s="466">
        <v>966620113.5035888</v>
      </c>
      <c r="M26" s="466">
        <v>82850047.73005344</v>
      </c>
      <c r="N26" s="466">
        <v>82262749.582582206</v>
      </c>
      <c r="O26" s="466">
        <v>85340307.73798199</v>
      </c>
    </row>
    <row r="27" spans="1:15" ht="15.75" x14ac:dyDescent="0.25">
      <c r="A27" s="419">
        <v>7001</v>
      </c>
      <c r="B27" s="420"/>
      <c r="C27" s="418" t="s">
        <v>641</v>
      </c>
      <c r="D27" s="418" t="s">
        <v>283</v>
      </c>
      <c r="E27" s="466">
        <v>24800822.066432986</v>
      </c>
      <c r="F27" s="466">
        <v>27790765.314638626</v>
      </c>
      <c r="G27" s="466">
        <v>62568577.866800204</v>
      </c>
      <c r="H27" s="466">
        <v>54001289.434151232</v>
      </c>
      <c r="I27" s="466">
        <v>93020501.585711896</v>
      </c>
      <c r="J27" s="466">
        <v>140050108.49607745</v>
      </c>
      <c r="K27" s="466">
        <v>165220614.25471541</v>
      </c>
      <c r="L27" s="466">
        <v>176002245.03421801</v>
      </c>
      <c r="M27" s="466">
        <v>12750865.157152394</v>
      </c>
      <c r="N27" s="466">
        <v>10628880.310549155</v>
      </c>
      <c r="O27" s="466">
        <v>22726341.782423638</v>
      </c>
    </row>
    <row r="28" spans="1:15" ht="15.75" x14ac:dyDescent="0.25">
      <c r="A28" s="419">
        <v>7002</v>
      </c>
      <c r="B28" s="420"/>
      <c r="C28" s="418" t="s">
        <v>891</v>
      </c>
      <c r="D28" s="418" t="s">
        <v>892</v>
      </c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</row>
    <row r="29" spans="1:15" x14ac:dyDescent="0.2">
      <c r="A29" s="436"/>
      <c r="B29" s="437"/>
      <c r="C29" s="421" t="s">
        <v>1028</v>
      </c>
      <c r="D29" s="421" t="s">
        <v>1028</v>
      </c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</row>
    <row r="30" spans="1:15" ht="18" x14ac:dyDescent="0.25">
      <c r="A30" s="461">
        <v>701</v>
      </c>
      <c r="B30" s="462"/>
      <c r="C30" s="463" t="s">
        <v>253</v>
      </c>
      <c r="D30" s="463" t="s">
        <v>254</v>
      </c>
      <c r="E30" s="474">
        <f t="shared" ref="E30:O30" si="4">SUM(E31:E34)</f>
        <v>876927382.74077797</v>
      </c>
      <c r="F30" s="474">
        <f t="shared" si="4"/>
        <v>1251036433.8173928</v>
      </c>
      <c r="G30" s="474">
        <f t="shared" si="4"/>
        <v>1440867154.8990152</v>
      </c>
      <c r="H30" s="474">
        <f t="shared" si="4"/>
        <v>1692901869.4708731</v>
      </c>
      <c r="I30" s="474">
        <f t="shared" si="4"/>
        <v>1753329047.7382741</v>
      </c>
      <c r="J30" s="474">
        <f t="shared" si="4"/>
        <v>1869976573.1931231</v>
      </c>
      <c r="K30" s="474">
        <f t="shared" si="4"/>
        <v>2091140786.1792691</v>
      </c>
      <c r="L30" s="474">
        <f t="shared" si="4"/>
        <v>2313457031.380404</v>
      </c>
      <c r="M30" s="474">
        <f t="shared" si="4"/>
        <v>196808978.61066601</v>
      </c>
      <c r="N30" s="474">
        <f t="shared" si="4"/>
        <v>195842716.77516276</v>
      </c>
      <c r="O30" s="474">
        <f t="shared" si="4"/>
        <v>207315440.30796194</v>
      </c>
    </row>
    <row r="31" spans="1:15" ht="15.75" x14ac:dyDescent="0.25">
      <c r="A31" s="419">
        <v>7010</v>
      </c>
      <c r="B31" s="420"/>
      <c r="C31" s="418" t="s">
        <v>255</v>
      </c>
      <c r="D31" s="418" t="s">
        <v>284</v>
      </c>
      <c r="E31" s="466">
        <v>430078517.77666503</v>
      </c>
      <c r="F31" s="466">
        <v>603776773.49357378</v>
      </c>
      <c r="G31" s="466">
        <v>691884076.11417127</v>
      </c>
      <c r="H31" s="466">
        <v>815444717.0756135</v>
      </c>
      <c r="I31" s="466">
        <v>926094746.28609586</v>
      </c>
      <c r="J31" s="466">
        <v>1032877324.3198131</v>
      </c>
      <c r="K31" s="466">
        <v>1155085728.5928893</v>
      </c>
      <c r="L31" s="466">
        <v>1275451635.787014</v>
      </c>
      <c r="M31" s="466">
        <v>109242430.85978968</v>
      </c>
      <c r="N31" s="466">
        <v>108686560.49323986</v>
      </c>
      <c r="O31" s="466">
        <v>114237809.8334168</v>
      </c>
    </row>
    <row r="32" spans="1:15" ht="15.75" x14ac:dyDescent="0.25">
      <c r="A32" s="419">
        <v>7011</v>
      </c>
      <c r="B32" s="420"/>
      <c r="C32" s="418" t="s">
        <v>257</v>
      </c>
      <c r="D32" s="418" t="s">
        <v>285</v>
      </c>
      <c r="E32" s="466">
        <v>410092651.47721589</v>
      </c>
      <c r="F32" s="466">
        <v>599051226.84026039</v>
      </c>
      <c r="G32" s="466">
        <v>691772191.62076461</v>
      </c>
      <c r="H32" s="466">
        <v>810345438.99182117</v>
      </c>
      <c r="I32" s="466">
        <v>743179310.63261557</v>
      </c>
      <c r="J32" s="466">
        <v>730109518.4443332</v>
      </c>
      <c r="K32" s="466">
        <v>815273777.3326658</v>
      </c>
      <c r="L32" s="466">
        <v>898148823.23485231</v>
      </c>
      <c r="M32" s="466">
        <v>77047110.601443842</v>
      </c>
      <c r="N32" s="466">
        <v>75869319.690744445</v>
      </c>
      <c r="O32" s="466">
        <v>79639681.408905014</v>
      </c>
    </row>
    <row r="33" spans="1:15" ht="15.75" x14ac:dyDescent="0.25">
      <c r="A33" s="419">
        <v>7012</v>
      </c>
      <c r="B33" s="420"/>
      <c r="C33" s="418" t="s">
        <v>642</v>
      </c>
      <c r="D33" s="418" t="s">
        <v>286</v>
      </c>
      <c r="E33" s="466">
        <v>25780149.3907528</v>
      </c>
      <c r="F33" s="466">
        <v>36211016.524787188</v>
      </c>
      <c r="G33" s="466">
        <v>42630328.826573201</v>
      </c>
      <c r="H33" s="466">
        <v>54646720.080120184</v>
      </c>
      <c r="I33" s="466">
        <v>71637280.92138207</v>
      </c>
      <c r="J33" s="466">
        <v>86200517.442830905</v>
      </c>
      <c r="K33" s="466">
        <v>106377069.77132367</v>
      </c>
      <c r="L33" s="466">
        <v>127801310.29878151</v>
      </c>
      <c r="M33" s="466">
        <v>10083964.140961444</v>
      </c>
      <c r="N33" s="466">
        <v>10355939.334418295</v>
      </c>
      <c r="O33" s="466">
        <v>11915233.093723919</v>
      </c>
    </row>
    <row r="34" spans="1:15" ht="15.75" x14ac:dyDescent="0.25">
      <c r="A34" s="419">
        <v>7013</v>
      </c>
      <c r="B34" s="420"/>
      <c r="C34" s="418" t="s">
        <v>261</v>
      </c>
      <c r="D34" s="418" t="s">
        <v>262</v>
      </c>
      <c r="E34" s="466">
        <v>10976064.096144216</v>
      </c>
      <c r="F34" s="466">
        <v>11997416.958771491</v>
      </c>
      <c r="G34" s="466">
        <v>14580558.337506259</v>
      </c>
      <c r="H34" s="466">
        <v>12464993.32331831</v>
      </c>
      <c r="I34" s="466">
        <v>12417709.898180604</v>
      </c>
      <c r="J34" s="466">
        <v>20789212.986145884</v>
      </c>
      <c r="K34" s="466">
        <v>14404210.482390253</v>
      </c>
      <c r="L34" s="466">
        <v>12055262.059756301</v>
      </c>
      <c r="M34" s="466">
        <v>435473.00847103994</v>
      </c>
      <c r="N34" s="466">
        <v>930897.2567601403</v>
      </c>
      <c r="O34" s="466">
        <v>1522715.9719162076</v>
      </c>
    </row>
    <row r="35" spans="1:15" x14ac:dyDescent="0.2">
      <c r="A35" s="436"/>
      <c r="B35" s="437"/>
      <c r="C35" s="421" t="s">
        <v>1028</v>
      </c>
      <c r="D35" s="421" t="s">
        <v>1028</v>
      </c>
      <c r="E35" s="442"/>
      <c r="F35" s="442"/>
      <c r="G35" s="442"/>
      <c r="H35" s="442"/>
      <c r="I35" s="442"/>
      <c r="J35" s="442"/>
      <c r="K35" s="442"/>
      <c r="L35" s="442"/>
      <c r="M35" s="442"/>
      <c r="N35" s="442"/>
      <c r="O35" s="442"/>
    </row>
    <row r="36" spans="1:15" ht="18" x14ac:dyDescent="0.25">
      <c r="A36" s="461">
        <v>702</v>
      </c>
      <c r="B36" s="462"/>
      <c r="C36" s="463" t="s">
        <v>263</v>
      </c>
      <c r="D36" s="463" t="s">
        <v>264</v>
      </c>
      <c r="E36" s="474">
        <f t="shared" ref="E36:O36" si="5">E37+E38</f>
        <v>0</v>
      </c>
      <c r="F36" s="474">
        <f t="shared" si="5"/>
        <v>0</v>
      </c>
      <c r="G36" s="474">
        <f t="shared" si="5"/>
        <v>24698134.702053081</v>
      </c>
      <c r="H36" s="474">
        <f t="shared" si="5"/>
        <v>15976794.358203974</v>
      </c>
      <c r="I36" s="474">
        <f t="shared" si="5"/>
        <v>76192897.679853112</v>
      </c>
      <c r="J36" s="474">
        <f t="shared" si="5"/>
        <v>156448589.55099314</v>
      </c>
      <c r="K36" s="474">
        <f t="shared" si="5"/>
        <v>191560223.66883659</v>
      </c>
      <c r="L36" s="474">
        <f t="shared" si="5"/>
        <v>231246899.51594058</v>
      </c>
      <c r="M36" s="474">
        <f t="shared" si="5"/>
        <v>21360326.13829077</v>
      </c>
      <c r="N36" s="474">
        <f t="shared" si="5"/>
        <v>20580343.940243699</v>
      </c>
      <c r="O36" s="474">
        <f t="shared" si="5"/>
        <v>21498471.084626939</v>
      </c>
    </row>
    <row r="37" spans="1:15" ht="15.75" x14ac:dyDescent="0.25">
      <c r="A37" s="419">
        <v>7020</v>
      </c>
      <c r="B37" s="420"/>
      <c r="C37" s="418" t="s">
        <v>287</v>
      </c>
      <c r="D37" s="418" t="s">
        <v>266</v>
      </c>
      <c r="E37" s="466">
        <v>0</v>
      </c>
      <c r="F37" s="466">
        <v>0</v>
      </c>
      <c r="G37" s="466">
        <v>13157657.319312302</v>
      </c>
      <c r="H37" s="466">
        <v>3374916.5414788853</v>
      </c>
      <c r="I37" s="466">
        <v>62356380.403939247</v>
      </c>
      <c r="J37" s="466">
        <v>141856476.38123852</v>
      </c>
      <c r="K37" s="466">
        <v>175505011.68419296</v>
      </c>
      <c r="L37" s="466">
        <v>214714989.15039226</v>
      </c>
      <c r="M37" s="466">
        <v>19933342.440535806</v>
      </c>
      <c r="N37" s="466">
        <v>19189793.689492572</v>
      </c>
      <c r="O37" s="466">
        <v>19994351.926222667</v>
      </c>
    </row>
    <row r="38" spans="1:15" ht="15.75" x14ac:dyDescent="0.25">
      <c r="A38" s="419">
        <v>7021</v>
      </c>
      <c r="B38" s="420"/>
      <c r="C38" s="418" t="s">
        <v>267</v>
      </c>
      <c r="D38" s="418" t="s">
        <v>288</v>
      </c>
      <c r="E38" s="466">
        <v>0</v>
      </c>
      <c r="F38" s="466">
        <v>0</v>
      </c>
      <c r="G38" s="466">
        <v>11540477.382740779</v>
      </c>
      <c r="H38" s="466">
        <v>12601877.816725088</v>
      </c>
      <c r="I38" s="466">
        <v>13836517.275913872</v>
      </c>
      <c r="J38" s="466">
        <v>14592113.169754634</v>
      </c>
      <c r="K38" s="466">
        <v>16055211.984643633</v>
      </c>
      <c r="L38" s="466">
        <v>16531910.365548324</v>
      </c>
      <c r="M38" s="466">
        <v>1426983.6977549661</v>
      </c>
      <c r="N38" s="466">
        <v>1390550.2507511266</v>
      </c>
      <c r="O38" s="466">
        <v>1504119.158404273</v>
      </c>
    </row>
    <row r="39" spans="1:15" x14ac:dyDescent="0.2">
      <c r="A39" s="436"/>
      <c r="B39" s="437"/>
      <c r="C39" s="421" t="s">
        <v>1028</v>
      </c>
      <c r="D39" s="421" t="s">
        <v>1028</v>
      </c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</row>
    <row r="40" spans="1:15" ht="18" x14ac:dyDescent="0.25">
      <c r="A40" s="461">
        <v>703</v>
      </c>
      <c r="B40" s="462"/>
      <c r="C40" s="463" t="s">
        <v>269</v>
      </c>
      <c r="D40" s="463" t="s">
        <v>270</v>
      </c>
      <c r="E40" s="474">
        <f t="shared" ref="E40:O40" si="6">SUM(E41:E44)</f>
        <v>11826460.524119513</v>
      </c>
      <c r="F40" s="474">
        <f t="shared" si="6"/>
        <v>17958521.115005843</v>
      </c>
      <c r="G40" s="474">
        <f t="shared" si="6"/>
        <v>17752758.30412285</v>
      </c>
      <c r="H40" s="474">
        <f t="shared" si="6"/>
        <v>51506426.306125857</v>
      </c>
      <c r="I40" s="474">
        <f t="shared" si="6"/>
        <v>61040014.187948585</v>
      </c>
      <c r="J40" s="474">
        <f t="shared" si="6"/>
        <v>81743732.265064269</v>
      </c>
      <c r="K40" s="474">
        <f t="shared" si="6"/>
        <v>115683679.68619598</v>
      </c>
      <c r="L40" s="474">
        <f t="shared" si="6"/>
        <v>110987773.32665664</v>
      </c>
      <c r="M40" s="474">
        <f t="shared" si="6"/>
        <v>4830998.6277332669</v>
      </c>
      <c r="N40" s="474">
        <f t="shared" si="6"/>
        <v>5988269.0414371574</v>
      </c>
      <c r="O40" s="474">
        <f t="shared" si="6"/>
        <v>10724582.793648805</v>
      </c>
    </row>
    <row r="41" spans="1:15" ht="15.75" x14ac:dyDescent="0.25">
      <c r="A41" s="419">
        <v>7030</v>
      </c>
      <c r="B41" s="420"/>
      <c r="C41" s="418" t="s">
        <v>271</v>
      </c>
      <c r="D41" s="418" t="s">
        <v>289</v>
      </c>
      <c r="E41" s="466">
        <v>5848005.3413453512</v>
      </c>
      <c r="F41" s="466">
        <v>8302416.1241862802</v>
      </c>
      <c r="G41" s="466">
        <v>8112669.0035052579</v>
      </c>
      <c r="H41" s="466">
        <v>38251756.801869474</v>
      </c>
      <c r="I41" s="466">
        <v>45274102.820898011</v>
      </c>
      <c r="J41" s="466">
        <v>63040652.645635121</v>
      </c>
      <c r="K41" s="466">
        <v>74670259.55600068</v>
      </c>
      <c r="L41" s="466">
        <v>74664146.219328985</v>
      </c>
      <c r="M41" s="466">
        <v>3221855.3213570355</v>
      </c>
      <c r="N41" s="466">
        <v>4130126.700258723</v>
      </c>
      <c r="O41" s="466">
        <v>8350383.9355700202</v>
      </c>
    </row>
    <row r="42" spans="1:15" ht="15.75" x14ac:dyDescent="0.25">
      <c r="A42" s="419">
        <v>7031</v>
      </c>
      <c r="B42" s="420"/>
      <c r="C42" s="418" t="s">
        <v>273</v>
      </c>
      <c r="D42" s="418" t="s">
        <v>274</v>
      </c>
      <c r="E42" s="466">
        <v>0</v>
      </c>
      <c r="F42" s="466">
        <v>0</v>
      </c>
      <c r="G42" s="466">
        <v>0</v>
      </c>
      <c r="H42" s="466">
        <v>0</v>
      </c>
      <c r="I42" s="466">
        <v>0</v>
      </c>
      <c r="J42" s="466">
        <v>0</v>
      </c>
      <c r="K42" s="466">
        <v>0</v>
      </c>
      <c r="L42" s="466">
        <v>15998.998497746621</v>
      </c>
      <c r="M42" s="466">
        <v>5078.451009848106</v>
      </c>
      <c r="N42" s="466">
        <v>4865.6317810048413</v>
      </c>
      <c r="O42" s="466">
        <v>-6893.6738440994832</v>
      </c>
    </row>
    <row r="43" spans="1:15" ht="15.75" x14ac:dyDescent="0.25">
      <c r="A43" s="419">
        <v>7032</v>
      </c>
      <c r="B43" s="420"/>
      <c r="C43" s="418" t="s">
        <v>275</v>
      </c>
      <c r="D43" s="418" t="s">
        <v>276</v>
      </c>
      <c r="E43" s="466">
        <v>508479.38574528461</v>
      </c>
      <c r="F43" s="466">
        <v>834076.11417125689</v>
      </c>
      <c r="G43" s="466">
        <v>960373.89417459536</v>
      </c>
      <c r="H43" s="466">
        <v>1182427.8083792354</v>
      </c>
      <c r="I43" s="466">
        <v>1407214.9891503924</v>
      </c>
      <c r="J43" s="466">
        <v>1440377.2325154399</v>
      </c>
      <c r="K43" s="466">
        <v>1396912.0347187449</v>
      </c>
      <c r="L43" s="466">
        <v>1646515.6067434486</v>
      </c>
      <c r="M43" s="466">
        <v>101018.19395760307</v>
      </c>
      <c r="N43" s="466">
        <v>111598.63562009683</v>
      </c>
      <c r="O43" s="466">
        <v>162518.05470706066</v>
      </c>
    </row>
    <row r="44" spans="1:15" ht="15.75" x14ac:dyDescent="0.25">
      <c r="A44" s="419">
        <v>7033</v>
      </c>
      <c r="B44" s="420"/>
      <c r="C44" s="418" t="s">
        <v>277</v>
      </c>
      <c r="D44" s="418" t="s">
        <v>643</v>
      </c>
      <c r="E44" s="466">
        <v>5469975.7970288768</v>
      </c>
      <c r="F44" s="466">
        <v>8822028.8766483068</v>
      </c>
      <c r="G44" s="466">
        <v>8679715.406442998</v>
      </c>
      <c r="H44" s="466">
        <v>12072241.69587715</v>
      </c>
      <c r="I44" s="466">
        <v>14358696.377900185</v>
      </c>
      <c r="J44" s="466">
        <v>17262702.386913706</v>
      </c>
      <c r="K44" s="466">
        <v>39616508.095476553</v>
      </c>
      <c r="L44" s="466">
        <v>34661112.502086461</v>
      </c>
      <c r="M44" s="466">
        <v>1503046.6614087799</v>
      </c>
      <c r="N44" s="466">
        <v>1741678.0737773327</v>
      </c>
      <c r="O44" s="466">
        <v>2218574.4772158237</v>
      </c>
    </row>
    <row r="45" spans="1:15" x14ac:dyDescent="0.2">
      <c r="A45" s="436"/>
      <c r="B45" s="437"/>
      <c r="C45" s="421" t="s">
        <v>1028</v>
      </c>
      <c r="D45" s="421" t="s">
        <v>1028</v>
      </c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</row>
    <row r="46" spans="1:15" ht="18" x14ac:dyDescent="0.25">
      <c r="A46" s="461">
        <v>704</v>
      </c>
      <c r="B46" s="462"/>
      <c r="C46" s="463" t="s">
        <v>279</v>
      </c>
      <c r="D46" s="463" t="s">
        <v>280</v>
      </c>
      <c r="E46" s="474">
        <f t="shared" ref="E46:O46" si="7">E47+E48+E49+E50+E51+E52+E53+E54+E55</f>
        <v>463763824.90402275</v>
      </c>
      <c r="F46" s="474">
        <f t="shared" si="7"/>
        <v>697934973.29327321</v>
      </c>
      <c r="G46" s="474">
        <f t="shared" si="7"/>
        <v>1001559572.6923718</v>
      </c>
      <c r="H46" s="474">
        <f t="shared" si="7"/>
        <v>1244193844.9340677</v>
      </c>
      <c r="I46" s="474">
        <f t="shared" si="7"/>
        <v>1458231918.7114005</v>
      </c>
      <c r="J46" s="474">
        <f t="shared" si="7"/>
        <v>1719636433.8173926</v>
      </c>
      <c r="K46" s="474">
        <f t="shared" si="7"/>
        <v>2001808900.8512771</v>
      </c>
      <c r="L46" s="474">
        <f t="shared" si="7"/>
        <v>2509889442.4970784</v>
      </c>
      <c r="M46" s="474">
        <f t="shared" si="7"/>
        <v>24319056.513895851</v>
      </c>
      <c r="N46" s="474">
        <f t="shared" si="7"/>
        <v>175565189.47195804</v>
      </c>
      <c r="O46" s="474">
        <f t="shared" si="7"/>
        <v>236512886.49808043</v>
      </c>
    </row>
    <row r="47" spans="1:15" ht="15.75" x14ac:dyDescent="0.25">
      <c r="A47" s="419">
        <v>7040</v>
      </c>
      <c r="B47" s="420"/>
      <c r="C47" s="418" t="s">
        <v>644</v>
      </c>
      <c r="D47" s="418" t="s">
        <v>290</v>
      </c>
      <c r="E47" s="466">
        <v>442904172.92605579</v>
      </c>
      <c r="F47" s="466">
        <v>654039475.88048744</v>
      </c>
      <c r="G47" s="466">
        <v>940540836.25438154</v>
      </c>
      <c r="H47" s="466">
        <v>1172846962.1098313</v>
      </c>
      <c r="I47" s="466">
        <v>1372230362.2099817</v>
      </c>
      <c r="J47" s="466">
        <v>1581119145.3847437</v>
      </c>
      <c r="K47" s="466">
        <v>1767386446.3361712</v>
      </c>
      <c r="L47" s="466">
        <v>1972685353.0295444</v>
      </c>
      <c r="M47" s="466">
        <v>6219274.9669504268</v>
      </c>
      <c r="N47" s="466">
        <v>150040693.78713915</v>
      </c>
      <c r="O47" s="466">
        <v>136961813.20835418</v>
      </c>
    </row>
    <row r="48" spans="1:15" ht="15.75" x14ac:dyDescent="0.25">
      <c r="A48" s="419">
        <v>7041</v>
      </c>
      <c r="B48" s="420"/>
      <c r="C48" s="418" t="s">
        <v>453</v>
      </c>
      <c r="D48" s="418" t="s">
        <v>454</v>
      </c>
      <c r="E48" s="466">
        <v>0</v>
      </c>
      <c r="F48" s="466">
        <v>0</v>
      </c>
      <c r="G48" s="466">
        <v>0</v>
      </c>
      <c r="H48" s="466">
        <v>0</v>
      </c>
      <c r="I48" s="466">
        <v>0</v>
      </c>
      <c r="J48" s="466">
        <v>33703304.957436159</v>
      </c>
      <c r="K48" s="466">
        <v>97042184.109497577</v>
      </c>
      <c r="L48" s="466">
        <v>77853772.325154409</v>
      </c>
      <c r="M48" s="466">
        <v>4393108.8884994164</v>
      </c>
      <c r="N48" s="466">
        <v>738468.04093640461</v>
      </c>
      <c r="O48" s="466">
        <v>5102815.5232014684</v>
      </c>
    </row>
    <row r="49" spans="1:15" ht="15.75" x14ac:dyDescent="0.25">
      <c r="A49" s="419">
        <v>7042</v>
      </c>
      <c r="B49" s="420"/>
      <c r="C49" s="418" t="s">
        <v>455</v>
      </c>
      <c r="D49" s="418" t="s">
        <v>291</v>
      </c>
      <c r="E49" s="466">
        <v>0</v>
      </c>
      <c r="F49" s="466">
        <v>0</v>
      </c>
      <c r="G49" s="466">
        <v>0</v>
      </c>
      <c r="H49" s="466">
        <v>0</v>
      </c>
      <c r="I49" s="466">
        <v>0</v>
      </c>
      <c r="J49" s="466">
        <v>0</v>
      </c>
      <c r="K49" s="466">
        <v>0</v>
      </c>
      <c r="L49" s="466">
        <v>292391445.50158572</v>
      </c>
      <c r="M49" s="466">
        <v>0</v>
      </c>
      <c r="N49" s="466">
        <v>8060041.3220664328</v>
      </c>
      <c r="O49" s="466">
        <v>74614147.927432805</v>
      </c>
    </row>
    <row r="50" spans="1:15" ht="15.75" x14ac:dyDescent="0.25">
      <c r="A50" s="419">
        <v>7043</v>
      </c>
      <c r="B50" s="420"/>
      <c r="C50" s="418" t="s">
        <v>865</v>
      </c>
      <c r="D50" s="418" t="s">
        <v>292</v>
      </c>
      <c r="E50" s="466">
        <v>0</v>
      </c>
      <c r="F50" s="466">
        <v>0</v>
      </c>
      <c r="G50" s="466">
        <v>0</v>
      </c>
      <c r="H50" s="466">
        <v>0</v>
      </c>
      <c r="I50" s="466">
        <v>0</v>
      </c>
      <c r="J50" s="466">
        <v>0</v>
      </c>
      <c r="K50" s="466">
        <v>0</v>
      </c>
      <c r="L50" s="466">
        <v>0</v>
      </c>
      <c r="M50" s="466">
        <v>0</v>
      </c>
      <c r="N50" s="466">
        <v>0</v>
      </c>
      <c r="O50" s="466">
        <v>0</v>
      </c>
    </row>
    <row r="51" spans="1:15" ht="15.75" x14ac:dyDescent="0.25">
      <c r="A51" s="419">
        <v>7044</v>
      </c>
      <c r="B51" s="420"/>
      <c r="C51" s="418" t="s">
        <v>459</v>
      </c>
      <c r="D51" s="418" t="s">
        <v>460</v>
      </c>
      <c r="E51" s="466">
        <v>348923.38507761643</v>
      </c>
      <c r="F51" s="466">
        <v>2170635.1193456855</v>
      </c>
      <c r="G51" s="466">
        <v>13076114.171256887</v>
      </c>
      <c r="H51" s="466">
        <v>22780362.209981643</v>
      </c>
      <c r="I51" s="466">
        <v>26492576.364546821</v>
      </c>
      <c r="J51" s="466">
        <v>36008554.498414293</v>
      </c>
      <c r="K51" s="466">
        <v>38951097.479552664</v>
      </c>
      <c r="L51" s="466">
        <v>48861942.914371558</v>
      </c>
      <c r="M51" s="466">
        <v>6175559.6354114516</v>
      </c>
      <c r="N51" s="466">
        <v>8246502.7438658001</v>
      </c>
      <c r="O51" s="466">
        <v>6708056.0849190447</v>
      </c>
    </row>
    <row r="52" spans="1:15" ht="15.75" x14ac:dyDescent="0.25">
      <c r="A52" s="419">
        <v>7045</v>
      </c>
      <c r="B52" s="420"/>
      <c r="C52" s="418" t="s">
        <v>463</v>
      </c>
      <c r="D52" s="418" t="s">
        <v>293</v>
      </c>
      <c r="E52" s="466">
        <v>0</v>
      </c>
      <c r="F52" s="466">
        <v>0</v>
      </c>
      <c r="G52" s="466">
        <v>0</v>
      </c>
      <c r="H52" s="466">
        <v>0</v>
      </c>
      <c r="I52" s="466">
        <v>0</v>
      </c>
      <c r="J52" s="466">
        <v>0</v>
      </c>
      <c r="K52" s="466">
        <v>0</v>
      </c>
      <c r="L52" s="466">
        <v>500.75112669003505</v>
      </c>
      <c r="M52" s="466">
        <v>500.75112669003505</v>
      </c>
      <c r="N52" s="466">
        <v>0</v>
      </c>
      <c r="O52" s="466">
        <v>-500.75112669003505</v>
      </c>
    </row>
    <row r="53" spans="1:15" ht="15.75" x14ac:dyDescent="0.25">
      <c r="A53" s="419">
        <v>7046</v>
      </c>
      <c r="B53" s="420"/>
      <c r="C53" s="418" t="s">
        <v>294</v>
      </c>
      <c r="D53" s="418" t="s">
        <v>295</v>
      </c>
      <c r="E53" s="466">
        <v>7685540.8112168266</v>
      </c>
      <c r="F53" s="466">
        <v>18674753.797362711</v>
      </c>
      <c r="G53" s="466">
        <v>24006618.260724422</v>
      </c>
      <c r="H53" s="466">
        <v>26507661.492238361</v>
      </c>
      <c r="I53" s="466">
        <v>30179185.444833919</v>
      </c>
      <c r="J53" s="466">
        <v>33465089.300617598</v>
      </c>
      <c r="K53" s="466">
        <v>52467159.071941249</v>
      </c>
      <c r="L53" s="466">
        <v>61847446.169253886</v>
      </c>
      <c r="M53" s="466">
        <v>4295315.620973127</v>
      </c>
      <c r="N53" s="466">
        <v>5185350.360290437</v>
      </c>
      <c r="O53" s="466">
        <v>6928147.5663077962</v>
      </c>
    </row>
    <row r="54" spans="1:15" ht="15.75" x14ac:dyDescent="0.25">
      <c r="A54" s="419">
        <v>7047</v>
      </c>
      <c r="B54" s="420"/>
      <c r="C54" s="418" t="s">
        <v>645</v>
      </c>
      <c r="D54" s="418" t="s">
        <v>296</v>
      </c>
      <c r="E54" s="466">
        <v>12825187.781672509</v>
      </c>
      <c r="F54" s="466">
        <v>23050108.496077448</v>
      </c>
      <c r="G54" s="466">
        <v>23936004.006009012</v>
      </c>
      <c r="H54" s="466">
        <v>22058859.122016359</v>
      </c>
      <c r="I54" s="466">
        <v>29329794.692038059</v>
      </c>
      <c r="J54" s="466">
        <v>35340339.676180944</v>
      </c>
      <c r="K54" s="466">
        <v>45962013.854114503</v>
      </c>
      <c r="L54" s="466">
        <v>49149336.504757136</v>
      </c>
      <c r="M54" s="466">
        <v>2211968.7098981808</v>
      </c>
      <c r="N54" s="466">
        <v>2403517.1824403275</v>
      </c>
      <c r="O54" s="466">
        <v>3534051.3763562012</v>
      </c>
    </row>
    <row r="55" spans="1:15" ht="15.75" x14ac:dyDescent="0.25">
      <c r="A55" s="419">
        <v>7048</v>
      </c>
      <c r="B55" s="420"/>
      <c r="C55" s="418" t="s">
        <v>297</v>
      </c>
      <c r="D55" s="418" t="s">
        <v>646</v>
      </c>
      <c r="E55" s="466">
        <v>0</v>
      </c>
      <c r="F55" s="466">
        <v>0</v>
      </c>
      <c r="G55" s="466">
        <v>0</v>
      </c>
      <c r="H55" s="466">
        <v>0</v>
      </c>
      <c r="I55" s="466">
        <v>0</v>
      </c>
      <c r="J55" s="466">
        <v>0</v>
      </c>
      <c r="K55" s="466">
        <v>0</v>
      </c>
      <c r="L55" s="466">
        <v>7099645.3012852613</v>
      </c>
      <c r="M55" s="466">
        <v>1023327.9410365548</v>
      </c>
      <c r="N55" s="466">
        <v>890616.03521949612</v>
      </c>
      <c r="O55" s="466">
        <v>2664355.5626356201</v>
      </c>
    </row>
    <row r="56" spans="1:15" x14ac:dyDescent="0.2">
      <c r="A56" s="436"/>
      <c r="B56" s="437"/>
      <c r="C56" s="421"/>
      <c r="D56" s="421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</row>
    <row r="57" spans="1:15" ht="18" x14ac:dyDescent="0.25">
      <c r="A57" s="464">
        <v>705</v>
      </c>
      <c r="B57" s="462"/>
      <c r="C57" s="465" t="s">
        <v>470</v>
      </c>
      <c r="D57" s="465" t="s">
        <v>471</v>
      </c>
      <c r="E57" s="474">
        <v>135453263.22817561</v>
      </c>
      <c r="F57" s="474">
        <f t="shared" ref="F57:O57" si="8">SUM(F58:F59)</f>
        <v>214750884.66032383</v>
      </c>
      <c r="G57" s="474">
        <f t="shared" si="8"/>
        <v>268181146.72008014</v>
      </c>
      <c r="H57" s="474">
        <f t="shared" si="8"/>
        <v>326224570.18861628</v>
      </c>
      <c r="I57" s="474">
        <f t="shared" si="8"/>
        <v>319614959.93990982</v>
      </c>
      <c r="J57" s="474">
        <f t="shared" si="8"/>
        <v>243961988.81655821</v>
      </c>
      <c r="K57" s="474">
        <f t="shared" si="8"/>
        <v>197340944.75045905</v>
      </c>
      <c r="L57" s="474">
        <f t="shared" si="8"/>
        <v>190525116.84192958</v>
      </c>
      <c r="M57" s="474">
        <f t="shared" si="8"/>
        <v>16544082.312802542</v>
      </c>
      <c r="N57" s="474">
        <f t="shared" si="8"/>
        <v>12393050.90873811</v>
      </c>
      <c r="O57" s="474">
        <f t="shared" si="8"/>
        <v>13706252.176306129</v>
      </c>
    </row>
    <row r="58" spans="1:15" ht="15.75" x14ac:dyDescent="0.25">
      <c r="A58" s="419">
        <v>7050</v>
      </c>
      <c r="B58" s="420"/>
      <c r="C58" s="418" t="s">
        <v>472</v>
      </c>
      <c r="D58" s="418" t="s">
        <v>473</v>
      </c>
      <c r="E58" s="466" t="s">
        <v>845</v>
      </c>
      <c r="F58" s="466">
        <v>153964317.30929729</v>
      </c>
      <c r="G58" s="466">
        <v>201958671.34034386</v>
      </c>
      <c r="H58" s="466">
        <v>240080775.32966119</v>
      </c>
      <c r="I58" s="466">
        <v>300843294.10782838</v>
      </c>
      <c r="J58" s="466">
        <v>235692442.83091307</v>
      </c>
      <c r="K58" s="466">
        <v>189647329.32732433</v>
      </c>
      <c r="L58" s="466">
        <v>178936137.53964281</v>
      </c>
      <c r="M58" s="466">
        <v>15229837.603905864</v>
      </c>
      <c r="N58" s="466">
        <v>11387786.895843768</v>
      </c>
      <c r="O58" s="466">
        <v>12462798.146594895</v>
      </c>
    </row>
    <row r="59" spans="1:15" ht="15.75" x14ac:dyDescent="0.25">
      <c r="A59" s="419">
        <v>7051</v>
      </c>
      <c r="B59" s="420"/>
      <c r="C59" s="418" t="s">
        <v>474</v>
      </c>
      <c r="D59" s="418" t="s">
        <v>475</v>
      </c>
      <c r="E59" s="466" t="s">
        <v>845</v>
      </c>
      <c r="F59" s="466">
        <v>60786567.351026542</v>
      </c>
      <c r="G59" s="466">
        <v>66222475.379736282</v>
      </c>
      <c r="H59" s="466">
        <v>86143794.858955115</v>
      </c>
      <c r="I59" s="466">
        <v>18771665.832081456</v>
      </c>
      <c r="J59" s="466">
        <v>8269545.985645134</v>
      </c>
      <c r="K59" s="466">
        <v>7693615.4231347032</v>
      </c>
      <c r="L59" s="466">
        <v>11588979.302286763</v>
      </c>
      <c r="M59" s="466">
        <v>1314244.7088966782</v>
      </c>
      <c r="N59" s="466">
        <v>1005264.0128943416</v>
      </c>
      <c r="O59" s="466">
        <v>1243454.0297112335</v>
      </c>
    </row>
    <row r="60" spans="1:15" x14ac:dyDescent="0.2">
      <c r="A60" s="436"/>
      <c r="B60" s="437"/>
      <c r="C60" s="421" t="s">
        <v>1028</v>
      </c>
      <c r="D60" s="421" t="s">
        <v>1028</v>
      </c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</row>
    <row r="61" spans="1:15" ht="18" x14ac:dyDescent="0.25">
      <c r="A61" s="461">
        <v>706</v>
      </c>
      <c r="B61" s="462"/>
      <c r="C61" s="463" t="s">
        <v>1029</v>
      </c>
      <c r="D61" s="463" t="s">
        <v>1022</v>
      </c>
      <c r="E61" s="474">
        <f t="shared" ref="E61:O61" si="9">E62</f>
        <v>3407085.6284426642</v>
      </c>
      <c r="F61" s="474">
        <f t="shared" si="9"/>
        <v>491553.99766316143</v>
      </c>
      <c r="G61" s="474">
        <f t="shared" si="9"/>
        <v>353542.81422133202</v>
      </c>
      <c r="H61" s="474">
        <f t="shared" si="9"/>
        <v>1883220.6643298282</v>
      </c>
      <c r="I61" s="474">
        <f t="shared" si="9"/>
        <v>1006847.7716574863</v>
      </c>
      <c r="J61" s="474">
        <f t="shared" si="9"/>
        <v>867722.41695877153</v>
      </c>
      <c r="K61" s="474">
        <f t="shared" si="9"/>
        <v>3284059.4224670338</v>
      </c>
      <c r="L61" s="474">
        <f t="shared" si="9"/>
        <v>418832.41528960108</v>
      </c>
      <c r="M61" s="474">
        <f t="shared" si="9"/>
        <v>52076.012268402599</v>
      </c>
      <c r="N61" s="474">
        <f t="shared" si="9"/>
        <v>43182.120013353371</v>
      </c>
      <c r="O61" s="474">
        <f t="shared" si="9"/>
        <v>104408.77570522454</v>
      </c>
    </row>
    <row r="62" spans="1:15" ht="15.75" x14ac:dyDescent="0.25">
      <c r="A62" s="419">
        <v>7060</v>
      </c>
      <c r="B62" s="420"/>
      <c r="C62" s="418" t="s">
        <v>1030</v>
      </c>
      <c r="D62" s="418" t="s">
        <v>298</v>
      </c>
      <c r="E62" s="466">
        <v>3407085.6284426642</v>
      </c>
      <c r="F62" s="466">
        <v>491553.99766316143</v>
      </c>
      <c r="G62" s="466">
        <v>353542.81422133202</v>
      </c>
      <c r="H62" s="466">
        <v>1883220.6643298282</v>
      </c>
      <c r="I62" s="466">
        <v>1006847.7716574863</v>
      </c>
      <c r="J62" s="466">
        <v>867722.41695877153</v>
      </c>
      <c r="K62" s="466">
        <v>3284059.4224670338</v>
      </c>
      <c r="L62" s="466">
        <v>418832.41528960108</v>
      </c>
      <c r="M62" s="466">
        <v>52076.012268402599</v>
      </c>
      <c r="N62" s="466">
        <v>43182.120013353371</v>
      </c>
      <c r="O62" s="466">
        <v>104408.77570522454</v>
      </c>
    </row>
    <row r="63" spans="1:15" x14ac:dyDescent="0.2">
      <c r="A63" s="436"/>
      <c r="B63" s="437"/>
      <c r="C63" s="421" t="s">
        <v>1028</v>
      </c>
      <c r="D63" s="421" t="s">
        <v>1028</v>
      </c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</row>
    <row r="64" spans="1:15" ht="20.25" x14ac:dyDescent="0.3">
      <c r="A64" s="458">
        <v>71</v>
      </c>
      <c r="B64" s="459"/>
      <c r="C64" s="460" t="s">
        <v>157</v>
      </c>
      <c r="D64" s="460" t="s">
        <v>158</v>
      </c>
      <c r="E64" s="476">
        <f t="shared" ref="E64:O64" si="10">E66+E71+E75+E78+E81</f>
        <v>112928839.09197131</v>
      </c>
      <c r="F64" s="476">
        <f t="shared" si="10"/>
        <v>153120643.4651978</v>
      </c>
      <c r="G64" s="476">
        <f t="shared" si="10"/>
        <v>121786696.71173428</v>
      </c>
      <c r="H64" s="476">
        <f t="shared" si="10"/>
        <v>164672103.9893173</v>
      </c>
      <c r="I64" s="476">
        <f t="shared" si="10"/>
        <v>236738165.5817059</v>
      </c>
      <c r="J64" s="476">
        <f t="shared" si="10"/>
        <v>254231292.77249208</v>
      </c>
      <c r="K64" s="476">
        <f t="shared" si="10"/>
        <v>368177499.58270741</v>
      </c>
      <c r="L64" s="476">
        <f t="shared" si="10"/>
        <v>333103500.25037563</v>
      </c>
      <c r="M64" s="476">
        <f t="shared" si="10"/>
        <v>22063240.193957604</v>
      </c>
      <c r="N64" s="476">
        <f t="shared" si="10"/>
        <v>22300659.998080458</v>
      </c>
      <c r="O64" s="476">
        <f t="shared" si="10"/>
        <v>30012770.528793186</v>
      </c>
    </row>
    <row r="65" spans="1:15" x14ac:dyDescent="0.2">
      <c r="A65" s="436"/>
      <c r="B65" s="437"/>
      <c r="C65" s="421" t="s">
        <v>1028</v>
      </c>
      <c r="D65" s="421" t="s">
        <v>1028</v>
      </c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</row>
    <row r="66" spans="1:15" ht="18" x14ac:dyDescent="0.25">
      <c r="A66" s="461">
        <v>710</v>
      </c>
      <c r="B66" s="462"/>
      <c r="C66" s="463" t="s">
        <v>299</v>
      </c>
      <c r="D66" s="463" t="s">
        <v>300</v>
      </c>
      <c r="E66" s="474">
        <f t="shared" ref="E66:O66" si="11">SUM(E67:E69)</f>
        <v>38829056.084126189</v>
      </c>
      <c r="F66" s="474">
        <f t="shared" si="11"/>
        <v>52243085.461525626</v>
      </c>
      <c r="G66" s="474">
        <f t="shared" si="11"/>
        <v>44560995.660156906</v>
      </c>
      <c r="H66" s="474">
        <f t="shared" si="11"/>
        <v>27659401.602403611</v>
      </c>
      <c r="I66" s="474">
        <f t="shared" si="11"/>
        <v>34639162.911033213</v>
      </c>
      <c r="J66" s="474">
        <f t="shared" si="11"/>
        <v>40863094.641962945</v>
      </c>
      <c r="K66" s="474">
        <f t="shared" si="11"/>
        <v>100925609.24720414</v>
      </c>
      <c r="L66" s="474">
        <f t="shared" si="11"/>
        <v>98156333.667167425</v>
      </c>
      <c r="M66" s="474">
        <f t="shared" si="11"/>
        <v>5984034.3671340346</v>
      </c>
      <c r="N66" s="474">
        <f t="shared" si="11"/>
        <v>4765937.0269571021</v>
      </c>
      <c r="O66" s="474">
        <f t="shared" si="11"/>
        <v>5969432.8674678691</v>
      </c>
    </row>
    <row r="67" spans="1:15" ht="15.75" x14ac:dyDescent="0.25">
      <c r="A67" s="419">
        <v>7100</v>
      </c>
      <c r="B67" s="420"/>
      <c r="C67" s="418" t="s">
        <v>647</v>
      </c>
      <c r="D67" s="418" t="s">
        <v>301</v>
      </c>
      <c r="E67" s="466">
        <v>665201.96962109837</v>
      </c>
      <c r="F67" s="466">
        <v>14919867.300951427</v>
      </c>
      <c r="G67" s="466">
        <v>4407273.4101151731</v>
      </c>
      <c r="H67" s="466">
        <v>271361.20847938576</v>
      </c>
      <c r="I67" s="466">
        <v>3341161.7426139209</v>
      </c>
      <c r="J67" s="466">
        <v>4490235.3530295454</v>
      </c>
      <c r="K67" s="466">
        <v>33519120.347187448</v>
      </c>
      <c r="L67" s="466">
        <v>26827392.75580037</v>
      </c>
      <c r="M67" s="466">
        <v>266569.90573360043</v>
      </c>
      <c r="N67" s="466">
        <v>33053.747287598067</v>
      </c>
      <c r="O67" s="466">
        <v>29884.326489734602</v>
      </c>
    </row>
    <row r="68" spans="1:15" ht="15.75" x14ac:dyDescent="0.25">
      <c r="A68" s="419">
        <v>7102</v>
      </c>
      <c r="B68" s="420"/>
      <c r="C68" s="418" t="s">
        <v>500</v>
      </c>
      <c r="D68" s="418" t="s">
        <v>302</v>
      </c>
      <c r="E68" s="466">
        <v>37862013.854114503</v>
      </c>
      <c r="F68" s="466">
        <v>34591917.042230017</v>
      </c>
      <c r="G68" s="466">
        <v>36717376.064096145</v>
      </c>
      <c r="H68" s="466">
        <v>22324152.896010686</v>
      </c>
      <c r="I68" s="466">
        <v>19822016.357870139</v>
      </c>
      <c r="J68" s="466">
        <v>20423844.099482559</v>
      </c>
      <c r="K68" s="466">
        <v>26395672.675680187</v>
      </c>
      <c r="L68" s="466">
        <v>28960152.729093641</v>
      </c>
      <c r="M68" s="466">
        <v>1863221.5481555667</v>
      </c>
      <c r="N68" s="466">
        <v>866706.56459689548</v>
      </c>
      <c r="O68" s="466">
        <v>1372339.7549657822</v>
      </c>
    </row>
    <row r="69" spans="1:15" ht="15.75" x14ac:dyDescent="0.25">
      <c r="A69" s="419">
        <v>7103</v>
      </c>
      <c r="B69" s="420"/>
      <c r="C69" s="418" t="s">
        <v>502</v>
      </c>
      <c r="D69" s="418" t="s">
        <v>303</v>
      </c>
      <c r="E69" s="466">
        <v>301840.26039058593</v>
      </c>
      <c r="F69" s="466">
        <v>2731301.1183441831</v>
      </c>
      <c r="G69" s="466">
        <v>3436346.1859455854</v>
      </c>
      <c r="H69" s="466">
        <v>5063887.4979135375</v>
      </c>
      <c r="I69" s="466">
        <v>11475984.810549159</v>
      </c>
      <c r="J69" s="466">
        <v>15949015.189450843</v>
      </c>
      <c r="K69" s="466">
        <v>41010816.224336505</v>
      </c>
      <c r="L69" s="466">
        <v>42368788.18227341</v>
      </c>
      <c r="M69" s="466">
        <v>3854242.9132448677</v>
      </c>
      <c r="N69" s="466">
        <v>3866176.7150726086</v>
      </c>
      <c r="O69" s="466">
        <v>4567208.7860123524</v>
      </c>
    </row>
    <row r="70" spans="1:15" x14ac:dyDescent="0.2">
      <c r="A70" s="436"/>
      <c r="B70" s="437"/>
      <c r="C70" s="421" t="s">
        <v>1028</v>
      </c>
      <c r="D70" s="421" t="s">
        <v>1028</v>
      </c>
      <c r="E70" s="442"/>
      <c r="F70" s="442"/>
      <c r="G70" s="442"/>
      <c r="H70" s="442"/>
      <c r="I70" s="442"/>
      <c r="J70" s="442"/>
      <c r="K70" s="442"/>
      <c r="L70" s="442"/>
      <c r="M70" s="442"/>
      <c r="N70" s="442"/>
      <c r="O70" s="442"/>
    </row>
    <row r="71" spans="1:15" ht="18" x14ac:dyDescent="0.25">
      <c r="A71" s="461">
        <v>711</v>
      </c>
      <c r="B71" s="462"/>
      <c r="C71" s="463" t="s">
        <v>505</v>
      </c>
      <c r="D71" s="463" t="s">
        <v>506</v>
      </c>
      <c r="E71" s="474">
        <f t="shared" ref="E71:O71" si="12">E72+E73</f>
        <v>14658312.468703054</v>
      </c>
      <c r="F71" s="474">
        <f t="shared" si="12"/>
        <v>23351548.155566685</v>
      </c>
      <c r="G71" s="474">
        <f t="shared" si="12"/>
        <v>24781626.606576532</v>
      </c>
      <c r="H71" s="474">
        <f t="shared" si="12"/>
        <v>34596023.20146887</v>
      </c>
      <c r="I71" s="474">
        <f t="shared" si="12"/>
        <v>36774077.783341676</v>
      </c>
      <c r="J71" s="474">
        <f t="shared" si="12"/>
        <v>43614834.752128199</v>
      </c>
      <c r="K71" s="474">
        <f t="shared" si="12"/>
        <v>49672396.094141215</v>
      </c>
      <c r="L71" s="474">
        <f t="shared" si="12"/>
        <v>56854001.836087465</v>
      </c>
      <c r="M71" s="474">
        <f t="shared" si="12"/>
        <v>4201260.5308796531</v>
      </c>
      <c r="N71" s="474">
        <f t="shared" si="12"/>
        <v>5296305.4419128699</v>
      </c>
      <c r="O71" s="474">
        <f t="shared" si="12"/>
        <v>8219506.3194792196</v>
      </c>
    </row>
    <row r="72" spans="1:15" ht="15.75" x14ac:dyDescent="0.25">
      <c r="A72" s="419">
        <v>7110</v>
      </c>
      <c r="B72" s="420"/>
      <c r="C72" s="418" t="s">
        <v>507</v>
      </c>
      <c r="D72" s="418" t="s">
        <v>508</v>
      </c>
      <c r="E72" s="466">
        <v>7263257.3860791186</v>
      </c>
      <c r="F72" s="466">
        <v>11110177.766649975</v>
      </c>
      <c r="G72" s="466">
        <v>13301051.57736605</v>
      </c>
      <c r="H72" s="466">
        <v>14432139.87648139</v>
      </c>
      <c r="I72" s="466">
        <v>16950016.691704221</v>
      </c>
      <c r="J72" s="466">
        <v>21563470.205307964</v>
      </c>
      <c r="K72" s="466">
        <v>25917317.643131364</v>
      </c>
      <c r="L72" s="466">
        <v>29704264.730428979</v>
      </c>
      <c r="M72" s="466">
        <v>2347389.8509848104</v>
      </c>
      <c r="N72" s="466">
        <v>2422906.3307461189</v>
      </c>
      <c r="O72" s="466">
        <v>3573613.5824987483</v>
      </c>
    </row>
    <row r="73" spans="1:15" ht="15.75" x14ac:dyDescent="0.25">
      <c r="A73" s="419">
        <v>7111</v>
      </c>
      <c r="B73" s="420"/>
      <c r="C73" s="418" t="s">
        <v>650</v>
      </c>
      <c r="D73" s="418" t="s">
        <v>304</v>
      </c>
      <c r="E73" s="466">
        <v>7395055.0826239362</v>
      </c>
      <c r="F73" s="466">
        <v>12241370.38891671</v>
      </c>
      <c r="G73" s="466">
        <v>11480575.029210482</v>
      </c>
      <c r="H73" s="466">
        <v>20163883.324987482</v>
      </c>
      <c r="I73" s="466">
        <v>19824061.091637459</v>
      </c>
      <c r="J73" s="466">
        <v>22051364.546820231</v>
      </c>
      <c r="K73" s="466">
        <v>23755078.451009851</v>
      </c>
      <c r="L73" s="466">
        <v>27149737.10565849</v>
      </c>
      <c r="M73" s="466">
        <v>1853870.6798948424</v>
      </c>
      <c r="N73" s="466">
        <v>2873399.111166751</v>
      </c>
      <c r="O73" s="466">
        <v>4645892.7369804708</v>
      </c>
    </row>
    <row r="74" spans="1:15" x14ac:dyDescent="0.2">
      <c r="A74" s="436"/>
      <c r="B74" s="437"/>
      <c r="C74" s="421" t="s">
        <v>1028</v>
      </c>
      <c r="D74" s="421" t="s">
        <v>1028</v>
      </c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</row>
    <row r="75" spans="1:15" ht="18" x14ac:dyDescent="0.25">
      <c r="A75" s="461">
        <v>712</v>
      </c>
      <c r="B75" s="462"/>
      <c r="C75" s="463" t="s">
        <v>305</v>
      </c>
      <c r="D75" s="463" t="s">
        <v>512</v>
      </c>
      <c r="E75" s="474">
        <f t="shared" ref="E75:O75" si="13">E76</f>
        <v>2623130.5291270241</v>
      </c>
      <c r="F75" s="474">
        <f t="shared" si="13"/>
        <v>5345063.4284760477</v>
      </c>
      <c r="G75" s="474">
        <f t="shared" si="13"/>
        <v>7547346.0190285435</v>
      </c>
      <c r="H75" s="474">
        <f t="shared" si="13"/>
        <v>11618765.64847271</v>
      </c>
      <c r="I75" s="474">
        <f t="shared" si="13"/>
        <v>15397563.011183443</v>
      </c>
      <c r="J75" s="474">
        <f t="shared" si="13"/>
        <v>16360974.795526626</v>
      </c>
      <c r="K75" s="474">
        <f t="shared" si="13"/>
        <v>23269871.473877482</v>
      </c>
      <c r="L75" s="474">
        <f t="shared" si="13"/>
        <v>28348022.033049576</v>
      </c>
      <c r="M75" s="474">
        <f t="shared" si="13"/>
        <v>2290966.3770655985</v>
      </c>
      <c r="N75" s="474">
        <f t="shared" si="13"/>
        <v>2673047.937781672</v>
      </c>
      <c r="O75" s="474">
        <f t="shared" si="13"/>
        <v>3131625.7487898516</v>
      </c>
    </row>
    <row r="76" spans="1:15" ht="15.75" x14ac:dyDescent="0.25">
      <c r="A76" s="419">
        <v>7120</v>
      </c>
      <c r="B76" s="420"/>
      <c r="C76" s="418" t="s">
        <v>164</v>
      </c>
      <c r="D76" s="418" t="s">
        <v>306</v>
      </c>
      <c r="E76" s="466">
        <v>2623130.5291270241</v>
      </c>
      <c r="F76" s="466">
        <v>5345063.4284760477</v>
      </c>
      <c r="G76" s="466">
        <v>7547346.0190285435</v>
      </c>
      <c r="H76" s="466">
        <v>11618765.64847271</v>
      </c>
      <c r="I76" s="466">
        <v>15397563.011183443</v>
      </c>
      <c r="J76" s="466">
        <v>16360974.795526626</v>
      </c>
      <c r="K76" s="466">
        <v>23269871.473877482</v>
      </c>
      <c r="L76" s="466">
        <v>28348022.033049576</v>
      </c>
      <c r="M76" s="466">
        <v>2290966.3770655985</v>
      </c>
      <c r="N76" s="466">
        <v>2673047.937781672</v>
      </c>
      <c r="O76" s="466">
        <v>3131625.7487898516</v>
      </c>
    </row>
    <row r="77" spans="1:15" x14ac:dyDescent="0.2">
      <c r="A77" s="436"/>
      <c r="B77" s="437"/>
      <c r="C77" s="421" t="s">
        <v>1028</v>
      </c>
      <c r="D77" s="421" t="s">
        <v>1028</v>
      </c>
      <c r="E77" s="442"/>
      <c r="F77" s="442"/>
      <c r="G77" s="442"/>
      <c r="H77" s="442"/>
      <c r="I77" s="442"/>
      <c r="J77" s="442"/>
      <c r="K77" s="442"/>
      <c r="L77" s="442"/>
      <c r="M77" s="442"/>
      <c r="N77" s="442"/>
      <c r="O77" s="442"/>
    </row>
    <row r="78" spans="1:15" ht="18" x14ac:dyDescent="0.25">
      <c r="A78" s="461">
        <v>713</v>
      </c>
      <c r="B78" s="462"/>
      <c r="C78" s="463" t="s">
        <v>515</v>
      </c>
      <c r="D78" s="463" t="s">
        <v>307</v>
      </c>
      <c r="E78" s="474">
        <f t="shared" ref="E78:O78" si="14">E79</f>
        <v>5890573.3600400612</v>
      </c>
      <c r="F78" s="474">
        <f t="shared" si="14"/>
        <v>19932828.409280587</v>
      </c>
      <c r="G78" s="474">
        <f t="shared" si="14"/>
        <v>6923514.4383241534</v>
      </c>
      <c r="H78" s="474">
        <f t="shared" si="14"/>
        <v>21558942.580537476</v>
      </c>
      <c r="I78" s="474">
        <f t="shared" si="14"/>
        <v>20849357.369387418</v>
      </c>
      <c r="J78" s="474">
        <f t="shared" si="14"/>
        <v>28376268.56952095</v>
      </c>
      <c r="K78" s="474">
        <f t="shared" si="14"/>
        <v>35922191.620764479</v>
      </c>
      <c r="L78" s="474">
        <f t="shared" si="14"/>
        <v>24328133.867467869</v>
      </c>
      <c r="M78" s="474">
        <f t="shared" si="14"/>
        <v>2335174.7343515274</v>
      </c>
      <c r="N78" s="474">
        <f t="shared" si="14"/>
        <v>1988221.4201719251</v>
      </c>
      <c r="O78" s="474">
        <f t="shared" si="14"/>
        <v>3713022.0975630106</v>
      </c>
    </row>
    <row r="79" spans="1:15" ht="15.75" x14ac:dyDescent="0.25">
      <c r="A79" s="419">
        <v>7130</v>
      </c>
      <c r="B79" s="420"/>
      <c r="C79" s="418" t="s">
        <v>517</v>
      </c>
      <c r="D79" s="418" t="s">
        <v>308</v>
      </c>
      <c r="E79" s="466">
        <v>5890573.3600400612</v>
      </c>
      <c r="F79" s="466">
        <v>19932828.409280587</v>
      </c>
      <c r="G79" s="466">
        <v>6923514.4383241534</v>
      </c>
      <c r="H79" s="466">
        <v>21558942.580537476</v>
      </c>
      <c r="I79" s="466">
        <v>20849357.369387418</v>
      </c>
      <c r="J79" s="466">
        <v>28376268.56952095</v>
      </c>
      <c r="K79" s="466">
        <v>35922191.620764479</v>
      </c>
      <c r="L79" s="466">
        <v>24328133.867467869</v>
      </c>
      <c r="M79" s="466">
        <v>2335174.7343515274</v>
      </c>
      <c r="N79" s="466">
        <v>1988221.4201719251</v>
      </c>
      <c r="O79" s="466">
        <v>3713022.0975630106</v>
      </c>
    </row>
    <row r="80" spans="1:15" x14ac:dyDescent="0.2">
      <c r="A80" s="436"/>
      <c r="B80" s="437"/>
      <c r="C80" s="421" t="s">
        <v>1028</v>
      </c>
      <c r="D80" s="421" t="s">
        <v>1028</v>
      </c>
      <c r="E80" s="442"/>
      <c r="F80" s="442"/>
      <c r="G80" s="442"/>
      <c r="H80" s="442"/>
      <c r="I80" s="442"/>
      <c r="J80" s="442"/>
      <c r="K80" s="442"/>
      <c r="L80" s="442"/>
      <c r="M80" s="442"/>
      <c r="N80" s="442"/>
      <c r="O80" s="442"/>
    </row>
    <row r="81" spans="1:15" ht="18" x14ac:dyDescent="0.25">
      <c r="A81" s="461">
        <v>714</v>
      </c>
      <c r="B81" s="462"/>
      <c r="C81" s="463" t="s">
        <v>520</v>
      </c>
      <c r="D81" s="463" t="s">
        <v>521</v>
      </c>
      <c r="E81" s="474">
        <f t="shared" ref="E81:O81" si="15">E82+E83</f>
        <v>50927766.649974972</v>
      </c>
      <c r="F81" s="474">
        <f t="shared" si="15"/>
        <v>52248118.010348856</v>
      </c>
      <c r="G81" s="474">
        <f t="shared" si="15"/>
        <v>37973213.987648144</v>
      </c>
      <c r="H81" s="474">
        <f t="shared" si="15"/>
        <v>69238970.956434652</v>
      </c>
      <c r="I81" s="474">
        <f t="shared" si="15"/>
        <v>129078004.50676015</v>
      </c>
      <c r="J81" s="474">
        <f t="shared" si="15"/>
        <v>125016120.01335336</v>
      </c>
      <c r="K81" s="474">
        <f t="shared" si="15"/>
        <v>158387431.14672008</v>
      </c>
      <c r="L81" s="474">
        <f t="shared" si="15"/>
        <v>125417008.84660324</v>
      </c>
      <c r="M81" s="474">
        <f t="shared" si="15"/>
        <v>7251804.1845267909</v>
      </c>
      <c r="N81" s="474">
        <f t="shared" si="15"/>
        <v>7577148.1712568859</v>
      </c>
      <c r="O81" s="474">
        <f t="shared" si="15"/>
        <v>8979183.4954932388</v>
      </c>
    </row>
    <row r="82" spans="1:15" ht="15.75" x14ac:dyDescent="0.25">
      <c r="A82" s="419">
        <v>7140</v>
      </c>
      <c r="B82" s="420"/>
      <c r="C82" s="418" t="s">
        <v>651</v>
      </c>
      <c r="D82" s="418" t="s">
        <v>309</v>
      </c>
      <c r="E82" s="466">
        <v>31533867.467868473</v>
      </c>
      <c r="F82" s="466">
        <v>20745693.540310465</v>
      </c>
      <c r="G82" s="466">
        <v>9784313.9709564354</v>
      </c>
      <c r="H82" s="466">
        <v>11204957.436154233</v>
      </c>
      <c r="I82" s="466">
        <v>13867355.199465867</v>
      </c>
      <c r="J82" s="466">
        <v>24704031.046569858</v>
      </c>
      <c r="K82" s="466">
        <v>27417805.875479888</v>
      </c>
      <c r="L82" s="466">
        <v>12888036.220998164</v>
      </c>
      <c r="M82" s="466">
        <v>1819992.4887330998</v>
      </c>
      <c r="N82" s="466">
        <v>1158900.8512769155</v>
      </c>
      <c r="O82" s="466">
        <v>1081355.3663829078</v>
      </c>
    </row>
    <row r="83" spans="1:15" ht="15.75" x14ac:dyDescent="0.25">
      <c r="A83" s="419">
        <v>7141</v>
      </c>
      <c r="B83" s="420"/>
      <c r="C83" s="418" t="s">
        <v>524</v>
      </c>
      <c r="D83" s="418" t="s">
        <v>525</v>
      </c>
      <c r="E83" s="466">
        <v>19393899.182106495</v>
      </c>
      <c r="F83" s="466">
        <v>31502424.470038392</v>
      </c>
      <c r="G83" s="466">
        <v>28188900.016691707</v>
      </c>
      <c r="H83" s="466">
        <v>58034013.520280421</v>
      </c>
      <c r="I83" s="466">
        <v>115210649.30729428</v>
      </c>
      <c r="J83" s="466">
        <v>100312088.96678351</v>
      </c>
      <c r="K83" s="466">
        <v>130969625.2712402</v>
      </c>
      <c r="L83" s="466">
        <v>112528972.62560508</v>
      </c>
      <c r="M83" s="466">
        <v>5431811.6957936911</v>
      </c>
      <c r="N83" s="466">
        <v>6418247.3199799703</v>
      </c>
      <c r="O83" s="466">
        <v>7897828.1291103316</v>
      </c>
    </row>
    <row r="84" spans="1:15" x14ac:dyDescent="0.2">
      <c r="A84" s="436"/>
      <c r="B84" s="437"/>
      <c r="C84" s="421" t="s">
        <v>1028</v>
      </c>
      <c r="D84" s="421" t="s">
        <v>1028</v>
      </c>
      <c r="E84" s="442"/>
      <c r="F84" s="442"/>
      <c r="G84" s="442"/>
      <c r="H84" s="442"/>
      <c r="I84" s="442"/>
      <c r="J84" s="442"/>
      <c r="K84" s="442"/>
      <c r="L84" s="442"/>
      <c r="M84" s="442"/>
      <c r="N84" s="442"/>
      <c r="O84" s="442"/>
    </row>
    <row r="85" spans="1:15" ht="20.25" x14ac:dyDescent="0.3">
      <c r="A85" s="458">
        <v>72</v>
      </c>
      <c r="B85" s="459"/>
      <c r="C85" s="460" t="s">
        <v>159</v>
      </c>
      <c r="D85" s="460" t="s">
        <v>527</v>
      </c>
      <c r="E85" s="476">
        <f t="shared" ref="E85:O85" si="16">E87+E93+E97</f>
        <v>7596803.5386412954</v>
      </c>
      <c r="F85" s="476">
        <f t="shared" si="16"/>
        <v>6140469.0368886665</v>
      </c>
      <c r="G85" s="476">
        <f t="shared" si="16"/>
        <v>6458199.7996995496</v>
      </c>
      <c r="H85" s="476">
        <f t="shared" si="16"/>
        <v>7610912.2016357882</v>
      </c>
      <c r="I85" s="476">
        <f t="shared" si="16"/>
        <v>7253668.0020030057</v>
      </c>
      <c r="J85" s="476">
        <f t="shared" si="16"/>
        <v>15877591.387080621</v>
      </c>
      <c r="K85" s="476">
        <f t="shared" si="16"/>
        <v>18658137.205808714</v>
      </c>
      <c r="L85" s="476">
        <f t="shared" si="16"/>
        <v>26831284.426639959</v>
      </c>
      <c r="M85" s="476">
        <f t="shared" si="16"/>
        <v>2058792.8518611251</v>
      </c>
      <c r="N85" s="476">
        <f t="shared" si="16"/>
        <v>2164523.9125771988</v>
      </c>
      <c r="O85" s="476">
        <f t="shared" si="16"/>
        <v>2719484.2332248371</v>
      </c>
    </row>
    <row r="86" spans="1:15" x14ac:dyDescent="0.2">
      <c r="A86" s="436"/>
      <c r="B86" s="437"/>
      <c r="C86" s="421" t="s">
        <v>1028</v>
      </c>
      <c r="D86" s="421" t="s">
        <v>1028</v>
      </c>
      <c r="E86" s="442"/>
      <c r="F86" s="442"/>
      <c r="G86" s="442"/>
      <c r="H86" s="442"/>
      <c r="I86" s="442"/>
      <c r="J86" s="442"/>
      <c r="K86" s="442"/>
      <c r="L86" s="442"/>
      <c r="M86" s="442"/>
      <c r="N86" s="442"/>
      <c r="O86" s="442"/>
    </row>
    <row r="87" spans="1:15" ht="18" x14ac:dyDescent="0.25">
      <c r="A87" s="461">
        <v>720</v>
      </c>
      <c r="B87" s="462"/>
      <c r="C87" s="463" t="s">
        <v>529</v>
      </c>
      <c r="D87" s="463" t="s">
        <v>310</v>
      </c>
      <c r="E87" s="474">
        <f t="shared" ref="E87:L87" si="17">SUM(E88:E91)</f>
        <v>7596803.5386412954</v>
      </c>
      <c r="F87" s="474">
        <f t="shared" si="17"/>
        <v>6140469.0368886665</v>
      </c>
      <c r="G87" s="474">
        <f t="shared" si="17"/>
        <v>6458199.7996995496</v>
      </c>
      <c r="H87" s="474">
        <f t="shared" si="17"/>
        <v>7610912.2016357882</v>
      </c>
      <c r="I87" s="474">
        <f t="shared" si="17"/>
        <v>7253668.0020030057</v>
      </c>
      <c r="J87" s="474">
        <f t="shared" si="17"/>
        <v>15877591.387080621</v>
      </c>
      <c r="K87" s="474">
        <f t="shared" si="17"/>
        <v>18658137.205808714</v>
      </c>
      <c r="L87" s="474">
        <f t="shared" si="17"/>
        <v>14675350.525788683</v>
      </c>
      <c r="M87" s="474">
        <f t="shared" ref="M87:O87" si="18">SUM(M88:M91)</f>
        <v>1059301.9488399266</v>
      </c>
      <c r="N87" s="474">
        <f t="shared" si="18"/>
        <v>1117780.78329995</v>
      </c>
      <c r="O87" s="474">
        <f t="shared" si="18"/>
        <v>1369016.8655065931</v>
      </c>
    </row>
    <row r="88" spans="1:15" ht="15.75" x14ac:dyDescent="0.25">
      <c r="A88" s="419">
        <v>7200</v>
      </c>
      <c r="B88" s="420"/>
      <c r="C88" s="418" t="s">
        <v>531</v>
      </c>
      <c r="D88" s="418" t="s">
        <v>311</v>
      </c>
      <c r="E88" s="466">
        <v>0</v>
      </c>
      <c r="F88" s="466">
        <v>0</v>
      </c>
      <c r="G88" s="466">
        <v>0</v>
      </c>
      <c r="H88" s="466">
        <v>0</v>
      </c>
      <c r="I88" s="466">
        <v>0</v>
      </c>
      <c r="J88" s="466">
        <v>0</v>
      </c>
      <c r="K88" s="466">
        <v>3806530.6292772493</v>
      </c>
      <c r="L88" s="466">
        <v>14197696.544817226</v>
      </c>
      <c r="M88" s="466">
        <v>1015315.6012351862</v>
      </c>
      <c r="N88" s="466">
        <v>974410.40982306795</v>
      </c>
      <c r="O88" s="466">
        <v>1248741.0309213819</v>
      </c>
    </row>
    <row r="89" spans="1:15" ht="15.75" x14ac:dyDescent="0.25">
      <c r="A89" s="419">
        <v>7201</v>
      </c>
      <c r="B89" s="420"/>
      <c r="C89" s="418" t="s">
        <v>533</v>
      </c>
      <c r="D89" s="418" t="s">
        <v>312</v>
      </c>
      <c r="E89" s="466">
        <v>0</v>
      </c>
      <c r="F89" s="466">
        <v>0</v>
      </c>
      <c r="G89" s="466">
        <v>0</v>
      </c>
      <c r="H89" s="466">
        <v>0</v>
      </c>
      <c r="I89" s="466">
        <v>0</v>
      </c>
      <c r="J89" s="466">
        <v>0</v>
      </c>
      <c r="K89" s="466">
        <v>0</v>
      </c>
      <c r="L89" s="466">
        <v>404485.89550993161</v>
      </c>
      <c r="M89" s="466">
        <v>26440.71644967451</v>
      </c>
      <c r="N89" s="466">
        <v>41630.136871974624</v>
      </c>
      <c r="O89" s="466">
        <v>82217.075613420137</v>
      </c>
    </row>
    <row r="90" spans="1:15" ht="15.75" x14ac:dyDescent="0.25">
      <c r="A90" s="419">
        <v>7202</v>
      </c>
      <c r="B90" s="420"/>
      <c r="C90" s="418" t="s">
        <v>535</v>
      </c>
      <c r="D90" s="418" t="s">
        <v>313</v>
      </c>
      <c r="E90" s="466">
        <v>0</v>
      </c>
      <c r="F90" s="466">
        <v>0</v>
      </c>
      <c r="G90" s="466">
        <v>0</v>
      </c>
      <c r="H90" s="466">
        <v>0</v>
      </c>
      <c r="I90" s="466">
        <v>0</v>
      </c>
      <c r="J90" s="466">
        <v>0</v>
      </c>
      <c r="K90" s="466">
        <v>0</v>
      </c>
      <c r="L90" s="466">
        <v>10799.532632281756</v>
      </c>
      <c r="M90" s="466">
        <v>16969.767359372392</v>
      </c>
      <c r="N90" s="466">
        <v>23063.888749791353</v>
      </c>
      <c r="O90" s="466">
        <v>1470.5433149724588</v>
      </c>
    </row>
    <row r="91" spans="1:15" ht="15.75" x14ac:dyDescent="0.25">
      <c r="A91" s="419">
        <v>7203</v>
      </c>
      <c r="B91" s="420"/>
      <c r="C91" s="418" t="s">
        <v>537</v>
      </c>
      <c r="D91" s="418" t="s">
        <v>314</v>
      </c>
      <c r="E91" s="466">
        <v>7596803.5386412954</v>
      </c>
      <c r="F91" s="466">
        <v>6140469.0368886665</v>
      </c>
      <c r="G91" s="466">
        <v>6458199.7996995496</v>
      </c>
      <c r="H91" s="466">
        <v>7610912.2016357882</v>
      </c>
      <c r="I91" s="466">
        <v>7253668.0020030057</v>
      </c>
      <c r="J91" s="466">
        <v>15877591.387080621</v>
      </c>
      <c r="K91" s="466">
        <v>14851606.576531466</v>
      </c>
      <c r="L91" s="466">
        <v>62368.552829243868</v>
      </c>
      <c r="M91" s="466">
        <v>575.86379569354028</v>
      </c>
      <c r="N91" s="466">
        <v>78676.347855116008</v>
      </c>
      <c r="O91" s="466">
        <v>36588.21565681856</v>
      </c>
    </row>
    <row r="92" spans="1:15" x14ac:dyDescent="0.2">
      <c r="A92" s="436"/>
      <c r="B92" s="437"/>
      <c r="C92" s="421" t="s">
        <v>1028</v>
      </c>
      <c r="D92" s="421" t="s">
        <v>1028</v>
      </c>
      <c r="E92" s="442"/>
      <c r="F92" s="442"/>
      <c r="G92" s="442"/>
      <c r="H92" s="442"/>
      <c r="I92" s="442"/>
      <c r="J92" s="442"/>
      <c r="K92" s="442"/>
      <c r="L92" s="442"/>
      <c r="M92" s="442"/>
      <c r="N92" s="442"/>
      <c r="O92" s="442"/>
    </row>
    <row r="93" spans="1:15" ht="18" x14ac:dyDescent="0.25">
      <c r="A93" s="461">
        <v>721</v>
      </c>
      <c r="B93" s="462"/>
      <c r="C93" s="463" t="s">
        <v>539</v>
      </c>
      <c r="D93" s="463" t="s">
        <v>315</v>
      </c>
      <c r="E93" s="474">
        <f t="shared" ref="E93:L93" si="19">E94+E95</f>
        <v>0</v>
      </c>
      <c r="F93" s="474">
        <f t="shared" si="19"/>
        <v>0</v>
      </c>
      <c r="G93" s="474">
        <f t="shared" si="19"/>
        <v>0</v>
      </c>
      <c r="H93" s="474">
        <f t="shared" si="19"/>
        <v>0</v>
      </c>
      <c r="I93" s="474">
        <f t="shared" si="19"/>
        <v>0</v>
      </c>
      <c r="J93" s="474">
        <f t="shared" si="19"/>
        <v>0</v>
      </c>
      <c r="K93" s="474">
        <f t="shared" si="19"/>
        <v>0</v>
      </c>
      <c r="L93" s="474">
        <f t="shared" si="19"/>
        <v>24457.519612752465</v>
      </c>
      <c r="M93" s="474">
        <f t="shared" ref="M93:O93" si="20">SUM(M94:M95)</f>
        <v>8320.8145551660818</v>
      </c>
      <c r="N93" s="474">
        <f t="shared" si="20"/>
        <v>-6159.2388582874319</v>
      </c>
      <c r="O93" s="474">
        <f t="shared" si="20"/>
        <v>-2161.5756968786513</v>
      </c>
    </row>
    <row r="94" spans="1:15" ht="15.75" x14ac:dyDescent="0.25">
      <c r="A94" s="419">
        <v>7210</v>
      </c>
      <c r="B94" s="420"/>
      <c r="C94" s="418" t="s">
        <v>541</v>
      </c>
      <c r="D94" s="418" t="s">
        <v>316</v>
      </c>
      <c r="E94" s="466">
        <v>0</v>
      </c>
      <c r="F94" s="466">
        <v>0</v>
      </c>
      <c r="G94" s="466">
        <v>0</v>
      </c>
      <c r="H94" s="466">
        <v>0</v>
      </c>
      <c r="I94" s="466">
        <v>0</v>
      </c>
      <c r="J94" s="466">
        <v>0</v>
      </c>
      <c r="K94" s="466">
        <v>0</v>
      </c>
      <c r="L94" s="466">
        <v>0</v>
      </c>
      <c r="M94" s="466">
        <v>0</v>
      </c>
      <c r="N94" s="466">
        <v>0</v>
      </c>
      <c r="O94" s="466">
        <v>0</v>
      </c>
    </row>
    <row r="95" spans="1:15" ht="15.75" x14ac:dyDescent="0.25">
      <c r="A95" s="419">
        <v>7211</v>
      </c>
      <c r="B95" s="420"/>
      <c r="C95" s="418" t="s">
        <v>543</v>
      </c>
      <c r="D95" s="418" t="s">
        <v>317</v>
      </c>
      <c r="E95" s="466">
        <v>0</v>
      </c>
      <c r="F95" s="466">
        <v>0</v>
      </c>
      <c r="G95" s="466">
        <v>0</v>
      </c>
      <c r="H95" s="466">
        <v>0</v>
      </c>
      <c r="I95" s="466">
        <v>0</v>
      </c>
      <c r="J95" s="466">
        <v>0</v>
      </c>
      <c r="K95" s="466">
        <v>0</v>
      </c>
      <c r="L95" s="466">
        <v>24457.519612752465</v>
      </c>
      <c r="M95" s="466">
        <v>8320.8145551660818</v>
      </c>
      <c r="N95" s="466">
        <v>-6159.2388582874319</v>
      </c>
      <c r="O95" s="466">
        <v>-2161.5756968786513</v>
      </c>
    </row>
    <row r="96" spans="1:15" x14ac:dyDescent="0.2">
      <c r="A96" s="436"/>
      <c r="B96" s="437"/>
      <c r="C96" s="421" t="s">
        <v>1028</v>
      </c>
      <c r="D96" s="421" t="s">
        <v>1028</v>
      </c>
      <c r="E96" s="442"/>
      <c r="F96" s="442"/>
      <c r="G96" s="442"/>
      <c r="H96" s="442"/>
      <c r="I96" s="442"/>
      <c r="J96" s="442"/>
      <c r="K96" s="442"/>
      <c r="L96" s="442"/>
      <c r="M96" s="442"/>
      <c r="N96" s="442"/>
      <c r="O96" s="442"/>
    </row>
    <row r="97" spans="1:15" ht="18" x14ac:dyDescent="0.25">
      <c r="A97" s="461">
        <v>722</v>
      </c>
      <c r="B97" s="462"/>
      <c r="C97" s="463" t="s">
        <v>318</v>
      </c>
      <c r="D97" s="463" t="s">
        <v>319</v>
      </c>
      <c r="E97" s="474">
        <f t="shared" ref="E97:O97" si="21">E98+E99+E100</f>
        <v>0</v>
      </c>
      <c r="F97" s="474">
        <f t="shared" si="21"/>
        <v>0</v>
      </c>
      <c r="G97" s="474">
        <f t="shared" si="21"/>
        <v>0</v>
      </c>
      <c r="H97" s="474">
        <f t="shared" si="21"/>
        <v>0</v>
      </c>
      <c r="I97" s="474">
        <f t="shared" si="21"/>
        <v>0</v>
      </c>
      <c r="J97" s="474">
        <f t="shared" si="21"/>
        <v>0</v>
      </c>
      <c r="K97" s="474">
        <f t="shared" si="21"/>
        <v>0</v>
      </c>
      <c r="L97" s="474">
        <f t="shared" si="21"/>
        <v>12131476.381238526</v>
      </c>
      <c r="M97" s="474">
        <f t="shared" si="21"/>
        <v>991170.08846603241</v>
      </c>
      <c r="N97" s="474">
        <f t="shared" si="21"/>
        <v>1052902.3681355366</v>
      </c>
      <c r="O97" s="474">
        <f t="shared" si="21"/>
        <v>1352628.9434151226</v>
      </c>
    </row>
    <row r="98" spans="1:15" ht="15.75" x14ac:dyDescent="0.25">
      <c r="A98" s="419">
        <v>7220</v>
      </c>
      <c r="B98" s="420"/>
      <c r="C98" s="418" t="s">
        <v>547</v>
      </c>
      <c r="D98" s="418" t="s">
        <v>320</v>
      </c>
      <c r="E98" s="466">
        <v>0</v>
      </c>
      <c r="F98" s="466">
        <v>0</v>
      </c>
      <c r="G98" s="466">
        <v>0</v>
      </c>
      <c r="H98" s="466">
        <v>0</v>
      </c>
      <c r="I98" s="466">
        <v>0</v>
      </c>
      <c r="J98" s="466">
        <v>0</v>
      </c>
      <c r="K98" s="466">
        <v>0</v>
      </c>
      <c r="L98" s="466">
        <v>11922429.477549659</v>
      </c>
      <c r="M98" s="466">
        <v>21640.794525121015</v>
      </c>
      <c r="N98" s="466">
        <v>-175.26289434151226</v>
      </c>
      <c r="O98" s="466">
        <v>4990.8195626773495</v>
      </c>
    </row>
    <row r="99" spans="1:15" ht="15.75" x14ac:dyDescent="0.25">
      <c r="A99" s="419">
        <v>7221</v>
      </c>
      <c r="B99" s="420"/>
      <c r="C99" s="418" t="s">
        <v>549</v>
      </c>
      <c r="D99" s="418" t="s">
        <v>321</v>
      </c>
      <c r="E99" s="466">
        <v>0</v>
      </c>
      <c r="F99" s="466">
        <v>0</v>
      </c>
      <c r="G99" s="466">
        <v>0</v>
      </c>
      <c r="H99" s="466">
        <v>0</v>
      </c>
      <c r="I99" s="466">
        <v>0</v>
      </c>
      <c r="J99" s="466">
        <v>0</v>
      </c>
      <c r="K99" s="466">
        <v>0</v>
      </c>
      <c r="L99" s="466">
        <v>209046.90368886665</v>
      </c>
      <c r="M99" s="466">
        <v>969529.29394091142</v>
      </c>
      <c r="N99" s="466">
        <v>1053077.631029878</v>
      </c>
      <c r="O99" s="466">
        <v>1169061.9262226673</v>
      </c>
    </row>
    <row r="100" spans="1:15" ht="15.75" x14ac:dyDescent="0.25">
      <c r="A100" s="419">
        <v>7222</v>
      </c>
      <c r="B100" s="420"/>
      <c r="C100" s="418" t="s">
        <v>322</v>
      </c>
      <c r="D100" s="418" t="s">
        <v>323</v>
      </c>
      <c r="E100" s="466">
        <v>0</v>
      </c>
      <c r="F100" s="466">
        <v>0</v>
      </c>
      <c r="G100" s="466">
        <v>0</v>
      </c>
      <c r="H100" s="466">
        <v>0</v>
      </c>
      <c r="I100" s="466">
        <v>0</v>
      </c>
      <c r="J100" s="466">
        <v>0</v>
      </c>
      <c r="K100" s="466">
        <v>0</v>
      </c>
      <c r="L100" s="466">
        <v>0</v>
      </c>
      <c r="M100" s="466">
        <v>0</v>
      </c>
      <c r="N100" s="466">
        <v>0</v>
      </c>
      <c r="O100" s="466">
        <v>178576.19762977803</v>
      </c>
    </row>
    <row r="101" spans="1:15" x14ac:dyDescent="0.2">
      <c r="A101" s="436"/>
      <c r="B101" s="437"/>
      <c r="C101" s="421" t="s">
        <v>1028</v>
      </c>
      <c r="D101" s="421" t="s">
        <v>1028</v>
      </c>
      <c r="E101" s="442"/>
      <c r="F101" s="442"/>
      <c r="G101" s="442"/>
      <c r="H101" s="442"/>
      <c r="I101" s="442"/>
      <c r="J101" s="442"/>
      <c r="K101" s="442"/>
      <c r="L101" s="442"/>
      <c r="M101" s="442"/>
      <c r="N101" s="442"/>
      <c r="O101" s="442"/>
    </row>
    <row r="102" spans="1:15" ht="20.25" x14ac:dyDescent="0.3">
      <c r="A102" s="458">
        <v>73</v>
      </c>
      <c r="B102" s="459"/>
      <c r="C102" s="460" t="s">
        <v>553</v>
      </c>
      <c r="D102" s="460" t="s">
        <v>324</v>
      </c>
      <c r="E102" s="476">
        <f t="shared" ref="E102:O102" si="22">E104+E108</f>
        <v>0</v>
      </c>
      <c r="F102" s="476">
        <f t="shared" si="22"/>
        <v>0</v>
      </c>
      <c r="G102" s="476">
        <f t="shared" si="22"/>
        <v>0</v>
      </c>
      <c r="H102" s="476">
        <f t="shared" si="22"/>
        <v>1962952.7624770489</v>
      </c>
      <c r="I102" s="476">
        <f t="shared" si="22"/>
        <v>3924323.9859789689</v>
      </c>
      <c r="J102" s="476">
        <f t="shared" si="22"/>
        <v>7343160.574194626</v>
      </c>
      <c r="K102" s="476">
        <f t="shared" si="22"/>
        <v>10219767.150726089</v>
      </c>
      <c r="L102" s="476">
        <f t="shared" si="22"/>
        <v>18078759.806376234</v>
      </c>
      <c r="M102" s="476">
        <f t="shared" si="22"/>
        <v>1289381.2131113333</v>
      </c>
      <c r="N102" s="476">
        <f t="shared" si="22"/>
        <v>1216869.0108078786</v>
      </c>
      <c r="O102" s="476">
        <f t="shared" si="22"/>
        <v>1868124.8076698382</v>
      </c>
    </row>
    <row r="103" spans="1:15" x14ac:dyDescent="0.2">
      <c r="A103" s="436"/>
      <c r="B103" s="437"/>
      <c r="C103" s="421" t="s">
        <v>1028</v>
      </c>
      <c r="D103" s="421" t="s">
        <v>1028</v>
      </c>
      <c r="E103" s="442"/>
      <c r="F103" s="442"/>
      <c r="G103" s="442"/>
      <c r="H103" s="442"/>
      <c r="I103" s="442"/>
      <c r="J103" s="442"/>
      <c r="K103" s="442"/>
      <c r="L103" s="442"/>
      <c r="M103" s="442"/>
      <c r="N103" s="442"/>
      <c r="O103" s="442"/>
    </row>
    <row r="104" spans="1:15" ht="18" x14ac:dyDescent="0.25">
      <c r="A104" s="461">
        <v>730</v>
      </c>
      <c r="B104" s="462"/>
      <c r="C104" s="463" t="s">
        <v>325</v>
      </c>
      <c r="D104" s="463" t="s">
        <v>326</v>
      </c>
      <c r="E104" s="474">
        <f t="shared" ref="E104:L104" si="23">E105+E106</f>
        <v>0</v>
      </c>
      <c r="F104" s="474">
        <f t="shared" si="23"/>
        <v>0</v>
      </c>
      <c r="G104" s="474">
        <f t="shared" si="23"/>
        <v>0</v>
      </c>
      <c r="H104" s="474">
        <f t="shared" si="23"/>
        <v>0</v>
      </c>
      <c r="I104" s="474">
        <f t="shared" si="23"/>
        <v>0</v>
      </c>
      <c r="J104" s="474">
        <f t="shared" si="23"/>
        <v>0</v>
      </c>
      <c r="K104" s="474">
        <f t="shared" si="23"/>
        <v>0</v>
      </c>
      <c r="L104" s="474">
        <f t="shared" si="23"/>
        <v>4633512.7691537309</v>
      </c>
      <c r="M104" s="474">
        <f t="shared" ref="M104:O104" si="24">SUM(M105:M106)</f>
        <v>110599.23218160574</v>
      </c>
      <c r="N104" s="474">
        <f t="shared" si="24"/>
        <v>175237.85678517778</v>
      </c>
      <c r="O104" s="474">
        <f t="shared" si="24"/>
        <v>-5335.373894174596</v>
      </c>
    </row>
    <row r="105" spans="1:15" ht="15.75" x14ac:dyDescent="0.25">
      <c r="A105" s="419">
        <v>7300</v>
      </c>
      <c r="B105" s="420"/>
      <c r="C105" s="418" t="s">
        <v>652</v>
      </c>
      <c r="D105" s="418" t="s">
        <v>327</v>
      </c>
      <c r="E105" s="466">
        <v>0</v>
      </c>
      <c r="F105" s="466">
        <v>0</v>
      </c>
      <c r="G105" s="466">
        <v>0</v>
      </c>
      <c r="H105" s="466">
        <v>0</v>
      </c>
      <c r="I105" s="466">
        <v>0</v>
      </c>
      <c r="J105" s="466">
        <v>0</v>
      </c>
      <c r="K105" s="466">
        <v>0</v>
      </c>
      <c r="L105" s="466">
        <v>4623088.7998664668</v>
      </c>
      <c r="M105" s="466">
        <v>71903.688866633282</v>
      </c>
      <c r="N105" s="466">
        <v>43903.355032548825</v>
      </c>
      <c r="O105" s="466">
        <v>13804.039392421966</v>
      </c>
    </row>
    <row r="106" spans="1:15" ht="15.75" x14ac:dyDescent="0.25">
      <c r="A106" s="419">
        <v>7301</v>
      </c>
      <c r="B106" s="420"/>
      <c r="C106" s="418" t="s">
        <v>653</v>
      </c>
      <c r="D106" s="418" t="s">
        <v>328</v>
      </c>
      <c r="E106" s="466">
        <v>0</v>
      </c>
      <c r="F106" s="466">
        <v>0</v>
      </c>
      <c r="G106" s="466">
        <v>0</v>
      </c>
      <c r="H106" s="466">
        <v>0</v>
      </c>
      <c r="I106" s="466">
        <v>0</v>
      </c>
      <c r="J106" s="466">
        <v>0</v>
      </c>
      <c r="K106" s="466">
        <v>0</v>
      </c>
      <c r="L106" s="466">
        <v>10423.96928726423</v>
      </c>
      <c r="M106" s="466">
        <v>38695.543314972463</v>
      </c>
      <c r="N106" s="466">
        <v>131334.50175262894</v>
      </c>
      <c r="O106" s="466">
        <v>-19139.413286596562</v>
      </c>
    </row>
    <row r="107" spans="1:15" x14ac:dyDescent="0.2">
      <c r="A107" s="436"/>
      <c r="B107" s="437"/>
      <c r="C107" s="421" t="s">
        <v>1028</v>
      </c>
      <c r="D107" s="421" t="s">
        <v>1028</v>
      </c>
      <c r="E107" s="442"/>
      <c r="F107" s="442"/>
      <c r="G107" s="442"/>
      <c r="H107" s="442"/>
      <c r="I107" s="442"/>
      <c r="J107" s="442"/>
      <c r="K107" s="442"/>
      <c r="L107" s="442"/>
      <c r="M107" s="442"/>
      <c r="N107" s="442"/>
      <c r="O107" s="442"/>
    </row>
    <row r="108" spans="1:15" ht="18" x14ac:dyDescent="0.25">
      <c r="A108" s="461">
        <v>731</v>
      </c>
      <c r="B108" s="462"/>
      <c r="C108" s="463" t="s">
        <v>563</v>
      </c>
      <c r="D108" s="463" t="s">
        <v>329</v>
      </c>
      <c r="E108" s="474">
        <f t="shared" ref="E108:L108" si="25">E109+E110</f>
        <v>0</v>
      </c>
      <c r="F108" s="474">
        <f t="shared" si="25"/>
        <v>0</v>
      </c>
      <c r="G108" s="474">
        <f t="shared" si="25"/>
        <v>0</v>
      </c>
      <c r="H108" s="474">
        <f t="shared" si="25"/>
        <v>1962952.7624770489</v>
      </c>
      <c r="I108" s="474">
        <f t="shared" si="25"/>
        <v>3924323.9859789689</v>
      </c>
      <c r="J108" s="474">
        <f t="shared" si="25"/>
        <v>7343160.574194626</v>
      </c>
      <c r="K108" s="474">
        <f t="shared" si="25"/>
        <v>10219767.150726089</v>
      </c>
      <c r="L108" s="474">
        <f t="shared" si="25"/>
        <v>13445247.037222501</v>
      </c>
      <c r="M108" s="474">
        <f t="shared" ref="M108:O108" si="26">SUM(M109:M110)</f>
        <v>1178781.9809297277</v>
      </c>
      <c r="N108" s="474">
        <f t="shared" si="26"/>
        <v>1041631.1540227009</v>
      </c>
      <c r="O108" s="474">
        <f t="shared" si="26"/>
        <v>1873460.1815640128</v>
      </c>
    </row>
    <row r="109" spans="1:15" ht="15.75" x14ac:dyDescent="0.25">
      <c r="A109" s="419">
        <v>7310</v>
      </c>
      <c r="B109" s="420"/>
      <c r="C109" s="418" t="s">
        <v>654</v>
      </c>
      <c r="D109" s="418" t="s">
        <v>330</v>
      </c>
      <c r="E109" s="466">
        <v>0</v>
      </c>
      <c r="F109" s="466">
        <v>0</v>
      </c>
      <c r="G109" s="466">
        <v>0</v>
      </c>
      <c r="H109" s="466">
        <v>1962952.7624770489</v>
      </c>
      <c r="I109" s="466">
        <v>3924323.9859789689</v>
      </c>
      <c r="J109" s="466">
        <v>7343160.574194626</v>
      </c>
      <c r="K109" s="466">
        <v>10219767.150726089</v>
      </c>
      <c r="L109" s="466">
        <v>12779744.616925389</v>
      </c>
      <c r="M109" s="466">
        <v>1178781.9809297277</v>
      </c>
      <c r="N109" s="466">
        <v>1021125.3953847439</v>
      </c>
      <c r="O109" s="466">
        <v>733227.68390085129</v>
      </c>
    </row>
    <row r="110" spans="1:15" ht="15.75" x14ac:dyDescent="0.25">
      <c r="A110" s="419">
        <v>7311</v>
      </c>
      <c r="B110" s="420"/>
      <c r="C110" s="418" t="s">
        <v>655</v>
      </c>
      <c r="D110" s="418" t="s">
        <v>331</v>
      </c>
      <c r="E110" s="466">
        <v>0</v>
      </c>
      <c r="F110" s="466">
        <v>0</v>
      </c>
      <c r="G110" s="466">
        <v>0</v>
      </c>
      <c r="H110" s="466">
        <v>0</v>
      </c>
      <c r="I110" s="466">
        <v>0</v>
      </c>
      <c r="J110" s="466">
        <v>0</v>
      </c>
      <c r="K110" s="466">
        <v>0</v>
      </c>
      <c r="L110" s="466">
        <v>665502.42029711243</v>
      </c>
      <c r="M110" s="466">
        <v>0</v>
      </c>
      <c r="N110" s="466">
        <v>20505.758637956937</v>
      </c>
      <c r="O110" s="466">
        <v>1140232.4976631615</v>
      </c>
    </row>
    <row r="111" spans="1:15" ht="15.75" x14ac:dyDescent="0.25">
      <c r="A111" s="419">
        <v>7312</v>
      </c>
      <c r="B111" s="420"/>
      <c r="C111" s="418" t="s">
        <v>658</v>
      </c>
      <c r="D111" s="418" t="s">
        <v>332</v>
      </c>
      <c r="E111" s="466" t="s">
        <v>845</v>
      </c>
      <c r="F111" s="466" t="s">
        <v>845</v>
      </c>
      <c r="G111" s="466" t="s">
        <v>845</v>
      </c>
      <c r="H111" s="466" t="s">
        <v>845</v>
      </c>
      <c r="I111" s="466" t="s">
        <v>845</v>
      </c>
      <c r="J111" s="466" t="s">
        <v>845</v>
      </c>
      <c r="K111" s="466" t="s">
        <v>845</v>
      </c>
      <c r="L111" s="466" t="s">
        <v>845</v>
      </c>
      <c r="M111" s="466" t="s">
        <v>845</v>
      </c>
      <c r="N111" s="466" t="s">
        <v>845</v>
      </c>
      <c r="O111" s="466" t="s">
        <v>845</v>
      </c>
    </row>
    <row r="112" spans="1:15" ht="15.75" x14ac:dyDescent="0.25">
      <c r="A112" s="419">
        <v>7313</v>
      </c>
      <c r="B112" s="420"/>
      <c r="C112" s="418" t="s">
        <v>659</v>
      </c>
      <c r="D112" s="418" t="s">
        <v>333</v>
      </c>
      <c r="E112" s="466" t="s">
        <v>845</v>
      </c>
      <c r="F112" s="466" t="s">
        <v>845</v>
      </c>
      <c r="G112" s="466" t="s">
        <v>845</v>
      </c>
      <c r="H112" s="466" t="s">
        <v>845</v>
      </c>
      <c r="I112" s="466" t="s">
        <v>845</v>
      </c>
      <c r="J112" s="466" t="s">
        <v>845</v>
      </c>
      <c r="K112" s="466" t="s">
        <v>845</v>
      </c>
      <c r="L112" s="466" t="s">
        <v>845</v>
      </c>
      <c r="M112" s="466" t="s">
        <v>845</v>
      </c>
      <c r="N112" s="466" t="s">
        <v>845</v>
      </c>
      <c r="O112" s="466" t="s">
        <v>845</v>
      </c>
    </row>
    <row r="113" spans="1:15" x14ac:dyDescent="0.2">
      <c r="A113" s="436"/>
      <c r="B113" s="437"/>
      <c r="C113" s="421"/>
      <c r="D113" s="421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</row>
    <row r="114" spans="1:15" ht="18" x14ac:dyDescent="0.25">
      <c r="A114" s="461">
        <v>732</v>
      </c>
      <c r="B114" s="462"/>
      <c r="C114" s="463" t="s">
        <v>334</v>
      </c>
      <c r="D114" s="463" t="s">
        <v>335</v>
      </c>
      <c r="E114" s="474" t="s">
        <v>845</v>
      </c>
      <c r="F114" s="474" t="s">
        <v>845</v>
      </c>
      <c r="G114" s="474" t="s">
        <v>845</v>
      </c>
      <c r="H114" s="474" t="s">
        <v>845</v>
      </c>
      <c r="I114" s="474" t="s">
        <v>845</v>
      </c>
      <c r="J114" s="474" t="s">
        <v>845</v>
      </c>
      <c r="K114" s="474" t="s">
        <v>845</v>
      </c>
      <c r="L114" s="474" t="s">
        <v>845</v>
      </c>
      <c r="M114" s="474" t="s">
        <v>845</v>
      </c>
      <c r="N114" s="474" t="s">
        <v>845</v>
      </c>
      <c r="O114" s="474" t="s">
        <v>845</v>
      </c>
    </row>
    <row r="115" spans="1:15" x14ac:dyDescent="0.2">
      <c r="A115" s="436"/>
      <c r="B115" s="437"/>
      <c r="C115" s="421" t="s">
        <v>1028</v>
      </c>
      <c r="D115" s="421" t="s">
        <v>1028</v>
      </c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</row>
    <row r="116" spans="1:15" ht="20.25" x14ac:dyDescent="0.3">
      <c r="A116" s="458">
        <v>74</v>
      </c>
      <c r="B116" s="459"/>
      <c r="C116" s="460" t="s">
        <v>160</v>
      </c>
      <c r="D116" s="460" t="s">
        <v>570</v>
      </c>
      <c r="E116" s="476">
        <f t="shared" ref="E116:O116" si="27">E118</f>
        <v>0</v>
      </c>
      <c r="F116" s="476">
        <f t="shared" si="27"/>
        <v>0</v>
      </c>
      <c r="G116" s="476">
        <f t="shared" si="27"/>
        <v>191094.97579702889</v>
      </c>
      <c r="H116" s="476">
        <f t="shared" si="27"/>
        <v>426151.72759138711</v>
      </c>
      <c r="I116" s="476">
        <f t="shared" si="27"/>
        <v>496715.90719412453</v>
      </c>
      <c r="J116" s="476">
        <f t="shared" si="27"/>
        <v>0</v>
      </c>
      <c r="K116" s="476">
        <f t="shared" si="27"/>
        <v>0</v>
      </c>
      <c r="L116" s="476">
        <f t="shared" si="27"/>
        <v>0</v>
      </c>
      <c r="M116" s="476">
        <f t="shared" si="27"/>
        <v>3453754.6881155074</v>
      </c>
      <c r="N116" s="476">
        <f t="shared" si="27"/>
        <v>2863190.4225504925</v>
      </c>
      <c r="O116" s="476">
        <f t="shared" si="27"/>
        <v>267104.0094308129</v>
      </c>
    </row>
    <row r="117" spans="1:15" x14ac:dyDescent="0.2">
      <c r="A117" s="436"/>
      <c r="B117" s="437"/>
      <c r="C117" s="421" t="s">
        <v>1028</v>
      </c>
      <c r="D117" s="421" t="s">
        <v>1028</v>
      </c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</row>
    <row r="118" spans="1:15" ht="18" x14ac:dyDescent="0.25">
      <c r="A118" s="461">
        <v>740</v>
      </c>
      <c r="B118" s="462"/>
      <c r="C118" s="463" t="s">
        <v>336</v>
      </c>
      <c r="D118" s="463" t="s">
        <v>337</v>
      </c>
      <c r="E118" s="474">
        <f t="shared" ref="E118:O118" si="28">E119+E120+E121+E122</f>
        <v>0</v>
      </c>
      <c r="F118" s="474">
        <f t="shared" si="28"/>
        <v>0</v>
      </c>
      <c r="G118" s="474">
        <f t="shared" si="28"/>
        <v>191094.97579702889</v>
      </c>
      <c r="H118" s="474">
        <f t="shared" si="28"/>
        <v>426151.72759138711</v>
      </c>
      <c r="I118" s="474">
        <f t="shared" si="28"/>
        <v>496715.90719412453</v>
      </c>
      <c r="J118" s="474">
        <f t="shared" si="28"/>
        <v>0</v>
      </c>
      <c r="K118" s="474">
        <f t="shared" si="28"/>
        <v>0</v>
      </c>
      <c r="L118" s="474">
        <f t="shared" si="28"/>
        <v>0</v>
      </c>
      <c r="M118" s="474">
        <f t="shared" si="28"/>
        <v>3453754.6881155074</v>
      </c>
      <c r="N118" s="474">
        <f t="shared" si="28"/>
        <v>2863190.4225504925</v>
      </c>
      <c r="O118" s="474">
        <f t="shared" si="28"/>
        <v>267104.0094308129</v>
      </c>
    </row>
    <row r="119" spans="1:15" ht="15.75" x14ac:dyDescent="0.25">
      <c r="A119" s="419">
        <v>7400</v>
      </c>
      <c r="B119" s="420"/>
      <c r="C119" s="418" t="s">
        <v>575</v>
      </c>
      <c r="D119" s="418" t="s">
        <v>660</v>
      </c>
      <c r="E119" s="466">
        <v>0</v>
      </c>
      <c r="F119" s="466">
        <v>0</v>
      </c>
      <c r="G119" s="466">
        <v>0</v>
      </c>
      <c r="H119" s="466">
        <v>0</v>
      </c>
      <c r="I119" s="466">
        <v>0</v>
      </c>
      <c r="J119" s="466">
        <v>0</v>
      </c>
      <c r="K119" s="466">
        <v>0</v>
      </c>
      <c r="L119" s="466">
        <v>0</v>
      </c>
      <c r="M119" s="466">
        <v>0</v>
      </c>
      <c r="N119" s="466">
        <v>0</v>
      </c>
      <c r="O119" s="466">
        <v>0</v>
      </c>
    </row>
    <row r="120" spans="1:15" ht="15.75" x14ac:dyDescent="0.25">
      <c r="A120" s="419">
        <v>7401</v>
      </c>
      <c r="B120" s="420"/>
      <c r="C120" s="418" t="s">
        <v>661</v>
      </c>
      <c r="D120" s="418" t="s">
        <v>338</v>
      </c>
      <c r="E120" s="466">
        <v>0</v>
      </c>
      <c r="F120" s="466">
        <v>0</v>
      </c>
      <c r="G120" s="466">
        <v>0</v>
      </c>
      <c r="H120" s="466">
        <v>0</v>
      </c>
      <c r="I120" s="466">
        <v>0</v>
      </c>
      <c r="J120" s="466">
        <v>0</v>
      </c>
      <c r="K120" s="466">
        <v>0</v>
      </c>
      <c r="L120" s="466">
        <v>0</v>
      </c>
      <c r="M120" s="466">
        <v>0</v>
      </c>
      <c r="N120" s="466">
        <v>0</v>
      </c>
      <c r="O120" s="466">
        <v>0</v>
      </c>
    </row>
    <row r="121" spans="1:15" ht="15.75" x14ac:dyDescent="0.25">
      <c r="A121" s="419">
        <v>7402</v>
      </c>
      <c r="B121" s="420"/>
      <c r="C121" s="418" t="s">
        <v>662</v>
      </c>
      <c r="D121" s="418" t="s">
        <v>580</v>
      </c>
      <c r="E121" s="466">
        <v>0</v>
      </c>
      <c r="F121" s="466">
        <v>0</v>
      </c>
      <c r="G121" s="466">
        <v>0</v>
      </c>
      <c r="H121" s="466">
        <v>0</v>
      </c>
      <c r="I121" s="466">
        <v>0</v>
      </c>
      <c r="J121" s="466">
        <v>0</v>
      </c>
      <c r="K121" s="466">
        <v>0</v>
      </c>
      <c r="L121" s="466">
        <v>0</v>
      </c>
      <c r="M121" s="466">
        <v>0</v>
      </c>
      <c r="N121" s="466">
        <v>0</v>
      </c>
      <c r="O121" s="466">
        <v>0</v>
      </c>
    </row>
    <row r="122" spans="1:15" ht="15.75" x14ac:dyDescent="0.25">
      <c r="A122" s="419">
        <v>7403</v>
      </c>
      <c r="B122" s="420"/>
      <c r="C122" s="418" t="s">
        <v>663</v>
      </c>
      <c r="D122" s="418" t="s">
        <v>582</v>
      </c>
      <c r="E122" s="466">
        <v>0</v>
      </c>
      <c r="F122" s="466">
        <v>0</v>
      </c>
      <c r="G122" s="466">
        <v>191094.97579702889</v>
      </c>
      <c r="H122" s="466">
        <v>426151.72759138711</v>
      </c>
      <c r="I122" s="466">
        <v>496715.90719412453</v>
      </c>
      <c r="J122" s="466">
        <v>0</v>
      </c>
      <c r="K122" s="466">
        <v>0</v>
      </c>
      <c r="L122" s="466">
        <v>0</v>
      </c>
      <c r="M122" s="466">
        <v>3453754.6881155074</v>
      </c>
      <c r="N122" s="466">
        <v>2863190.4225504925</v>
      </c>
      <c r="O122" s="466">
        <v>267104.0094308129</v>
      </c>
    </row>
    <row r="123" spans="1:15" ht="15.75" x14ac:dyDescent="0.25">
      <c r="A123" s="419">
        <v>7404</v>
      </c>
      <c r="B123" s="420"/>
      <c r="C123" s="418" t="s">
        <v>867</v>
      </c>
      <c r="D123" s="418" t="s">
        <v>664</v>
      </c>
      <c r="E123" s="466" t="s">
        <v>845</v>
      </c>
      <c r="F123" s="466" t="s">
        <v>845</v>
      </c>
      <c r="G123" s="466" t="s">
        <v>845</v>
      </c>
      <c r="H123" s="466" t="s">
        <v>845</v>
      </c>
      <c r="I123" s="466" t="s">
        <v>845</v>
      </c>
      <c r="J123" s="466" t="s">
        <v>845</v>
      </c>
      <c r="K123" s="466" t="s">
        <v>845</v>
      </c>
      <c r="L123" s="466" t="s">
        <v>845</v>
      </c>
      <c r="M123" s="466" t="s">
        <v>845</v>
      </c>
      <c r="N123" s="466" t="s">
        <v>845</v>
      </c>
      <c r="O123" s="466" t="s">
        <v>845</v>
      </c>
    </row>
    <row r="124" spans="1:15" x14ac:dyDescent="0.2">
      <c r="A124" s="436"/>
      <c r="B124" s="437"/>
      <c r="C124" s="421" t="s">
        <v>1028</v>
      </c>
      <c r="D124" s="421" t="s">
        <v>1028</v>
      </c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</row>
    <row r="125" spans="1:15" ht="18" x14ac:dyDescent="0.25">
      <c r="A125" s="461">
        <v>741</v>
      </c>
      <c r="B125" s="462"/>
      <c r="C125" s="463" t="s">
        <v>1036</v>
      </c>
      <c r="D125" s="463" t="s">
        <v>1035</v>
      </c>
      <c r="E125" s="474" t="s">
        <v>845</v>
      </c>
      <c r="F125" s="474" t="s">
        <v>845</v>
      </c>
      <c r="G125" s="474" t="s">
        <v>845</v>
      </c>
      <c r="H125" s="474" t="s">
        <v>845</v>
      </c>
      <c r="I125" s="474" t="s">
        <v>845</v>
      </c>
      <c r="J125" s="474" t="s">
        <v>845</v>
      </c>
      <c r="K125" s="474" t="s">
        <v>845</v>
      </c>
      <c r="L125" s="474" t="s">
        <v>845</v>
      </c>
      <c r="M125" s="474" t="s">
        <v>845</v>
      </c>
      <c r="N125" s="474" t="s">
        <v>845</v>
      </c>
      <c r="O125" s="474" t="s">
        <v>845</v>
      </c>
    </row>
    <row r="126" spans="1:15" x14ac:dyDescent="0.2">
      <c r="A126" s="436"/>
      <c r="B126" s="437"/>
      <c r="C126" s="421" t="s">
        <v>1028</v>
      </c>
      <c r="D126" s="421" t="s">
        <v>1028</v>
      </c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</row>
    <row r="127" spans="1:15" ht="20.25" x14ac:dyDescent="0.3">
      <c r="A127" s="458">
        <v>78</v>
      </c>
      <c r="B127" s="459"/>
      <c r="C127" s="460" t="s">
        <v>1031</v>
      </c>
      <c r="D127" s="460" t="s">
        <v>163</v>
      </c>
      <c r="E127" s="476" t="s">
        <v>845</v>
      </c>
      <c r="F127" s="476" t="s">
        <v>845</v>
      </c>
      <c r="G127" s="476" t="s">
        <v>845</v>
      </c>
      <c r="H127" s="476" t="s">
        <v>845</v>
      </c>
      <c r="I127" s="476" t="s">
        <v>845</v>
      </c>
      <c r="J127" s="476" t="s">
        <v>845</v>
      </c>
      <c r="K127" s="476" t="s">
        <v>845</v>
      </c>
      <c r="L127" s="476" t="s">
        <v>845</v>
      </c>
      <c r="M127" s="476" t="s">
        <v>845</v>
      </c>
      <c r="N127" s="476" t="s">
        <v>845</v>
      </c>
      <c r="O127" s="476" t="s">
        <v>845</v>
      </c>
    </row>
    <row r="128" spans="1:15" x14ac:dyDescent="0.2">
      <c r="A128" s="436"/>
      <c r="B128" s="437"/>
      <c r="C128" s="421" t="s">
        <v>1028</v>
      </c>
      <c r="D128" s="421" t="s">
        <v>1028</v>
      </c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</row>
    <row r="129" spans="1:15" ht="18" x14ac:dyDescent="0.25">
      <c r="A129" s="461">
        <v>780</v>
      </c>
      <c r="B129" s="462"/>
      <c r="C129" s="463" t="s">
        <v>339</v>
      </c>
      <c r="D129" s="463" t="s">
        <v>340</v>
      </c>
      <c r="E129" s="474" t="s">
        <v>845</v>
      </c>
      <c r="F129" s="474" t="s">
        <v>845</v>
      </c>
      <c r="G129" s="474" t="s">
        <v>845</v>
      </c>
      <c r="H129" s="474" t="s">
        <v>845</v>
      </c>
      <c r="I129" s="474" t="s">
        <v>845</v>
      </c>
      <c r="J129" s="474" t="s">
        <v>845</v>
      </c>
      <c r="K129" s="474" t="s">
        <v>845</v>
      </c>
      <c r="L129" s="474" t="s">
        <v>845</v>
      </c>
      <c r="M129" s="474" t="s">
        <v>845</v>
      </c>
      <c r="N129" s="474" t="s">
        <v>845</v>
      </c>
      <c r="O129" s="474" t="s">
        <v>845</v>
      </c>
    </row>
    <row r="130" spans="1:15" ht="18" x14ac:dyDescent="0.25">
      <c r="A130" s="461">
        <v>781</v>
      </c>
      <c r="B130" s="462"/>
      <c r="C130" s="463" t="s">
        <v>341</v>
      </c>
      <c r="D130" s="463" t="s">
        <v>342</v>
      </c>
      <c r="E130" s="474" t="s">
        <v>845</v>
      </c>
      <c r="F130" s="474" t="s">
        <v>845</v>
      </c>
      <c r="G130" s="474" t="s">
        <v>845</v>
      </c>
      <c r="H130" s="474" t="s">
        <v>845</v>
      </c>
      <c r="I130" s="474" t="s">
        <v>845</v>
      </c>
      <c r="J130" s="474" t="s">
        <v>845</v>
      </c>
      <c r="K130" s="474" t="s">
        <v>845</v>
      </c>
      <c r="L130" s="474" t="s">
        <v>845</v>
      </c>
      <c r="M130" s="474" t="s">
        <v>845</v>
      </c>
      <c r="N130" s="474" t="s">
        <v>845</v>
      </c>
      <c r="O130" s="474" t="s">
        <v>845</v>
      </c>
    </row>
    <row r="131" spans="1:15" ht="18" x14ac:dyDescent="0.25">
      <c r="A131" s="461">
        <v>782</v>
      </c>
      <c r="B131" s="462"/>
      <c r="C131" s="463" t="s">
        <v>343</v>
      </c>
      <c r="D131" s="463" t="s">
        <v>344</v>
      </c>
      <c r="E131" s="474" t="s">
        <v>845</v>
      </c>
      <c r="F131" s="474" t="s">
        <v>845</v>
      </c>
      <c r="G131" s="474" t="s">
        <v>845</v>
      </c>
      <c r="H131" s="474" t="s">
        <v>845</v>
      </c>
      <c r="I131" s="474" t="s">
        <v>845</v>
      </c>
      <c r="J131" s="474" t="s">
        <v>845</v>
      </c>
      <c r="K131" s="474" t="s">
        <v>845</v>
      </c>
      <c r="L131" s="474" t="s">
        <v>845</v>
      </c>
      <c r="M131" s="474" t="s">
        <v>845</v>
      </c>
      <c r="N131" s="474" t="s">
        <v>845</v>
      </c>
      <c r="O131" s="474" t="s">
        <v>845</v>
      </c>
    </row>
    <row r="132" spans="1:15" ht="18" x14ac:dyDescent="0.25">
      <c r="A132" s="461">
        <v>783</v>
      </c>
      <c r="B132" s="462"/>
      <c r="C132" s="463" t="s">
        <v>345</v>
      </c>
      <c r="D132" s="463" t="s">
        <v>346</v>
      </c>
      <c r="E132" s="474" t="s">
        <v>845</v>
      </c>
      <c r="F132" s="474" t="s">
        <v>845</v>
      </c>
      <c r="G132" s="474" t="s">
        <v>845</v>
      </c>
      <c r="H132" s="474" t="s">
        <v>845</v>
      </c>
      <c r="I132" s="474" t="s">
        <v>845</v>
      </c>
      <c r="J132" s="474" t="s">
        <v>845</v>
      </c>
      <c r="K132" s="474" t="s">
        <v>845</v>
      </c>
      <c r="L132" s="474" t="s">
        <v>845</v>
      </c>
      <c r="M132" s="474" t="s">
        <v>845</v>
      </c>
      <c r="N132" s="474" t="s">
        <v>845</v>
      </c>
      <c r="O132" s="474" t="s">
        <v>845</v>
      </c>
    </row>
    <row r="133" spans="1:15" ht="18" x14ac:dyDescent="0.25">
      <c r="A133" s="461">
        <v>784</v>
      </c>
      <c r="B133" s="462"/>
      <c r="C133" s="463" t="s">
        <v>347</v>
      </c>
      <c r="D133" s="463" t="s">
        <v>348</v>
      </c>
      <c r="E133" s="474" t="s">
        <v>845</v>
      </c>
      <c r="F133" s="474" t="s">
        <v>845</v>
      </c>
      <c r="G133" s="474" t="s">
        <v>845</v>
      </c>
      <c r="H133" s="474" t="s">
        <v>845</v>
      </c>
      <c r="I133" s="474" t="s">
        <v>845</v>
      </c>
      <c r="J133" s="474" t="s">
        <v>845</v>
      </c>
      <c r="K133" s="474" t="s">
        <v>845</v>
      </c>
      <c r="L133" s="474" t="s">
        <v>845</v>
      </c>
      <c r="M133" s="474" t="s">
        <v>845</v>
      </c>
      <c r="N133" s="474" t="s">
        <v>845</v>
      </c>
      <c r="O133" s="474" t="s">
        <v>845</v>
      </c>
    </row>
    <row r="134" spans="1:15" ht="18" x14ac:dyDescent="0.25">
      <c r="A134" s="461">
        <v>785</v>
      </c>
      <c r="B134" s="462"/>
      <c r="C134" s="463" t="s">
        <v>908</v>
      </c>
      <c r="D134" s="463" t="s">
        <v>349</v>
      </c>
      <c r="E134" s="474" t="s">
        <v>845</v>
      </c>
      <c r="F134" s="474" t="s">
        <v>845</v>
      </c>
      <c r="G134" s="474" t="s">
        <v>845</v>
      </c>
      <c r="H134" s="474" t="s">
        <v>845</v>
      </c>
      <c r="I134" s="474" t="s">
        <v>845</v>
      </c>
      <c r="J134" s="474" t="s">
        <v>845</v>
      </c>
      <c r="K134" s="474" t="s">
        <v>845</v>
      </c>
      <c r="L134" s="474" t="s">
        <v>845</v>
      </c>
      <c r="M134" s="474" t="s">
        <v>845</v>
      </c>
      <c r="N134" s="474" t="s">
        <v>845</v>
      </c>
      <c r="O134" s="474" t="s">
        <v>845</v>
      </c>
    </row>
    <row r="135" spans="1:15" ht="18" x14ac:dyDescent="0.25">
      <c r="A135" s="461">
        <v>786</v>
      </c>
      <c r="B135" s="462"/>
      <c r="C135" s="463" t="s">
        <v>910</v>
      </c>
      <c r="D135" s="463" t="s">
        <v>350</v>
      </c>
      <c r="E135" s="474" t="s">
        <v>845</v>
      </c>
      <c r="F135" s="474" t="s">
        <v>845</v>
      </c>
      <c r="G135" s="474" t="s">
        <v>845</v>
      </c>
      <c r="H135" s="474" t="s">
        <v>845</v>
      </c>
      <c r="I135" s="474" t="s">
        <v>845</v>
      </c>
      <c r="J135" s="474" t="s">
        <v>845</v>
      </c>
      <c r="K135" s="474" t="s">
        <v>845</v>
      </c>
      <c r="L135" s="474" t="s">
        <v>845</v>
      </c>
      <c r="M135" s="474" t="s">
        <v>845</v>
      </c>
      <c r="N135" s="474" t="s">
        <v>845</v>
      </c>
      <c r="O135" s="474" t="s">
        <v>845</v>
      </c>
    </row>
    <row r="136" spans="1:15" ht="18" x14ac:dyDescent="0.25">
      <c r="A136" s="461">
        <v>787</v>
      </c>
      <c r="B136" s="462"/>
      <c r="C136" s="463" t="s">
        <v>1032</v>
      </c>
      <c r="D136" s="463" t="s">
        <v>351</v>
      </c>
      <c r="E136" s="474" t="s">
        <v>845</v>
      </c>
      <c r="F136" s="474" t="s">
        <v>845</v>
      </c>
      <c r="G136" s="474" t="s">
        <v>845</v>
      </c>
      <c r="H136" s="474" t="s">
        <v>845</v>
      </c>
      <c r="I136" s="474" t="s">
        <v>845</v>
      </c>
      <c r="J136" s="474" t="s">
        <v>845</v>
      </c>
      <c r="K136" s="474" t="s">
        <v>845</v>
      </c>
      <c r="L136" s="474" t="s">
        <v>845</v>
      </c>
      <c r="M136" s="474" t="s">
        <v>845</v>
      </c>
      <c r="N136" s="474" t="s">
        <v>845</v>
      </c>
      <c r="O136" s="474" t="s">
        <v>845</v>
      </c>
    </row>
    <row r="137" spans="1:15" ht="18" x14ac:dyDescent="0.25">
      <c r="A137" s="578">
        <v>788</v>
      </c>
      <c r="B137" s="579"/>
      <c r="C137" s="580" t="s">
        <v>352</v>
      </c>
      <c r="D137" s="580" t="s">
        <v>353</v>
      </c>
      <c r="E137" s="581" t="s">
        <v>845</v>
      </c>
      <c r="F137" s="581" t="s">
        <v>845</v>
      </c>
      <c r="G137" s="581" t="s">
        <v>845</v>
      </c>
      <c r="H137" s="581" t="s">
        <v>845</v>
      </c>
      <c r="I137" s="581" t="s">
        <v>845</v>
      </c>
      <c r="J137" s="581" t="s">
        <v>845</v>
      </c>
      <c r="K137" s="581" t="s">
        <v>845</v>
      </c>
      <c r="L137" s="581" t="s">
        <v>845</v>
      </c>
      <c r="M137" s="581" t="s">
        <v>845</v>
      </c>
      <c r="N137" s="581" t="s">
        <v>845</v>
      </c>
      <c r="O137" s="581" t="s">
        <v>845</v>
      </c>
    </row>
    <row r="138" spans="1:15" ht="15.75" thickBot="1" x14ac:dyDescent="0.25">
      <c r="A138" s="454"/>
      <c r="B138" s="455"/>
      <c r="C138" s="456"/>
      <c r="D138" s="456"/>
      <c r="E138" s="552"/>
      <c r="F138" s="552"/>
      <c r="G138" s="552"/>
      <c r="H138" s="552"/>
      <c r="I138" s="552"/>
      <c r="J138" s="552"/>
      <c r="K138" s="552"/>
      <c r="L138" s="552"/>
      <c r="M138" s="552"/>
      <c r="N138" s="552"/>
      <c r="O138" s="552"/>
    </row>
    <row r="139" spans="1:15" ht="15.75" thickTop="1" x14ac:dyDescent="0.2">
      <c r="A139" s="451"/>
      <c r="B139" s="452"/>
      <c r="C139" s="453"/>
      <c r="D139" s="4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</row>
    <row r="140" spans="1:15" ht="20.25" x14ac:dyDescent="0.3">
      <c r="A140" s="467">
        <v>4</v>
      </c>
      <c r="B140" s="468" t="s">
        <v>584</v>
      </c>
      <c r="C140" s="469" t="s">
        <v>144</v>
      </c>
      <c r="D140" s="469" t="s">
        <v>145</v>
      </c>
      <c r="E140" s="551">
        <f t="shared" ref="E140:O140" si="29">E142+E178+E213+E227</f>
        <v>1873894316.4747124</v>
      </c>
      <c r="F140" s="551">
        <f t="shared" si="29"/>
        <v>2726335077.616425</v>
      </c>
      <c r="G140" s="551">
        <f t="shared" si="29"/>
        <v>3468647492.0714412</v>
      </c>
      <c r="H140" s="551">
        <f t="shared" si="29"/>
        <v>4172760423.9692869</v>
      </c>
      <c r="I140" s="551">
        <f t="shared" si="29"/>
        <v>4705262527.1240196</v>
      </c>
      <c r="J140" s="551">
        <f t="shared" si="29"/>
        <v>5442161154.2313461</v>
      </c>
      <c r="K140" s="551">
        <f t="shared" si="29"/>
        <v>6160147070.6059084</v>
      </c>
      <c r="L140" s="551">
        <f t="shared" si="29"/>
        <v>6974376212.2350197</v>
      </c>
      <c r="M140" s="551">
        <f t="shared" si="29"/>
        <v>498523556.1101653</v>
      </c>
      <c r="N140" s="551">
        <f t="shared" si="29"/>
        <v>554908326.14838934</v>
      </c>
      <c r="O140" s="551">
        <f t="shared" si="29"/>
        <v>610407973.3793608</v>
      </c>
    </row>
    <row r="141" spans="1:15" ht="20.25" x14ac:dyDescent="0.3">
      <c r="A141" s="458"/>
      <c r="B141" s="459"/>
      <c r="C141" s="470"/>
      <c r="D141" s="470"/>
      <c r="E141" s="476"/>
      <c r="F141" s="476"/>
      <c r="G141" s="476"/>
      <c r="H141" s="476"/>
      <c r="I141" s="476"/>
      <c r="J141" s="476"/>
      <c r="K141" s="476"/>
      <c r="L141" s="476"/>
      <c r="M141" s="476"/>
      <c r="N141" s="476"/>
      <c r="O141" s="476"/>
    </row>
    <row r="142" spans="1:15" ht="20.25" x14ac:dyDescent="0.3">
      <c r="A142" s="458">
        <v>40</v>
      </c>
      <c r="B142" s="459"/>
      <c r="C142" s="460" t="s">
        <v>148</v>
      </c>
      <c r="D142" s="460" t="s">
        <v>589</v>
      </c>
      <c r="E142" s="476">
        <f t="shared" ref="E142:O142" si="30">E144+E148+E153+E157+E165+E172</f>
        <v>895782394.42497087</v>
      </c>
      <c r="F142" s="476">
        <f t="shared" si="30"/>
        <v>1309323940.076782</v>
      </c>
      <c r="G142" s="476">
        <f t="shared" si="30"/>
        <v>1588916629.1103325</v>
      </c>
      <c r="H142" s="476">
        <f t="shared" si="30"/>
        <v>1936384059.422467</v>
      </c>
      <c r="I142" s="476">
        <f t="shared" si="30"/>
        <v>2215538128.0253716</v>
      </c>
      <c r="J142" s="476">
        <f t="shared" si="30"/>
        <v>2553131534.8022032</v>
      </c>
      <c r="K142" s="476">
        <f t="shared" si="30"/>
        <v>2898936475.5466533</v>
      </c>
      <c r="L142" s="476">
        <f t="shared" si="30"/>
        <v>3196258307.0439</v>
      </c>
      <c r="M142" s="476">
        <f t="shared" si="30"/>
        <v>243859153.0095143</v>
      </c>
      <c r="N142" s="476">
        <f t="shared" si="30"/>
        <v>255236198.85357201</v>
      </c>
      <c r="O142" s="476">
        <f t="shared" si="30"/>
        <v>300709785.08738112</v>
      </c>
    </row>
    <row r="143" spans="1:15" x14ac:dyDescent="0.2">
      <c r="A143" s="436"/>
      <c r="B143" s="437"/>
      <c r="C143" s="421"/>
      <c r="D143" s="421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</row>
    <row r="144" spans="1:15" ht="20.25" x14ac:dyDescent="0.3">
      <c r="A144" s="458"/>
      <c r="B144" s="459"/>
      <c r="C144" s="460" t="s">
        <v>848</v>
      </c>
      <c r="D144" s="460" t="s">
        <v>849</v>
      </c>
      <c r="E144" s="476">
        <f t="shared" ref="E144:O144" si="31">E145+E146</f>
        <v>375795898.01368719</v>
      </c>
      <c r="F144" s="476">
        <f t="shared" si="31"/>
        <v>547495063.4284761</v>
      </c>
      <c r="G144" s="476">
        <f t="shared" si="31"/>
        <v>641308420.96478057</v>
      </c>
      <c r="H144" s="476">
        <f t="shared" si="31"/>
        <v>808241428.80988145</v>
      </c>
      <c r="I144" s="476">
        <f t="shared" si="31"/>
        <v>978350897.17910206</v>
      </c>
      <c r="J144" s="476">
        <f t="shared" si="31"/>
        <v>1188319921.5489902</v>
      </c>
      <c r="K144" s="476">
        <f t="shared" si="31"/>
        <v>1304478513.603739</v>
      </c>
      <c r="L144" s="476">
        <f t="shared" si="31"/>
        <v>1463190281.2552161</v>
      </c>
      <c r="M144" s="476">
        <f t="shared" si="31"/>
        <v>123575399.03158906</v>
      </c>
      <c r="N144" s="476">
        <f t="shared" si="31"/>
        <v>121631183.59902352</v>
      </c>
      <c r="O144" s="476">
        <f t="shared" si="31"/>
        <v>125847205.91512269</v>
      </c>
    </row>
    <row r="145" spans="1:15" ht="18" x14ac:dyDescent="0.25">
      <c r="A145" s="461">
        <v>400</v>
      </c>
      <c r="B145" s="462"/>
      <c r="C145" s="463" t="s">
        <v>591</v>
      </c>
      <c r="D145" s="463" t="s">
        <v>1023</v>
      </c>
      <c r="E145" s="474">
        <v>117690890.50242029</v>
      </c>
      <c r="F145" s="474">
        <v>241023009.51427144</v>
      </c>
      <c r="G145" s="474">
        <v>254838486.8970122</v>
      </c>
      <c r="H145" s="474">
        <v>278859860.62426978</v>
      </c>
      <c r="I145" s="474">
        <v>342110853.780671</v>
      </c>
      <c r="J145" s="474">
        <v>403625893.00617594</v>
      </c>
      <c r="K145" s="474">
        <v>434599202.9711234</v>
      </c>
      <c r="L145" s="474">
        <v>486397458.68803203</v>
      </c>
      <c r="M145" s="474">
        <v>41602161.941996329</v>
      </c>
      <c r="N145" s="474">
        <v>42166765.435236178</v>
      </c>
      <c r="O145" s="474">
        <v>42790655.040686034</v>
      </c>
    </row>
    <row r="146" spans="1:15" x14ac:dyDescent="0.2">
      <c r="A146" s="436">
        <v>413300</v>
      </c>
      <c r="B146" s="437"/>
      <c r="C146" s="421" t="s">
        <v>354</v>
      </c>
      <c r="D146" s="421" t="s">
        <v>1024</v>
      </c>
      <c r="E146" s="442">
        <v>258105007.51126692</v>
      </c>
      <c r="F146" s="442">
        <v>306472053.91420466</v>
      </c>
      <c r="G146" s="442">
        <v>386469934.06776834</v>
      </c>
      <c r="H146" s="442">
        <v>529381568.18561172</v>
      </c>
      <c r="I146" s="442">
        <v>636240043.39843106</v>
      </c>
      <c r="J146" s="442">
        <v>784694028.54281425</v>
      </c>
      <c r="K146" s="442">
        <v>869879310.63261557</v>
      </c>
      <c r="L146" s="442">
        <v>976792822.56718421</v>
      </c>
      <c r="M146" s="442">
        <v>81973237.089592725</v>
      </c>
      <c r="N146" s="442">
        <v>79464418.16378735</v>
      </c>
      <c r="O146" s="442">
        <v>83056550.874436647</v>
      </c>
    </row>
    <row r="147" spans="1:15" x14ac:dyDescent="0.2">
      <c r="A147" s="436"/>
      <c r="B147" s="437"/>
      <c r="C147" s="421"/>
      <c r="D147" s="421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</row>
    <row r="148" spans="1:15" ht="20.25" x14ac:dyDescent="0.3">
      <c r="A148" s="458"/>
      <c r="B148" s="459"/>
      <c r="C148" s="460" t="s">
        <v>607</v>
      </c>
      <c r="D148" s="460" t="s">
        <v>870</v>
      </c>
      <c r="E148" s="476">
        <f>E149+E150</f>
        <v>85693398.430979803</v>
      </c>
      <c r="F148" s="476">
        <f t="shared" ref="F148:O148" si="32">F149+F150</f>
        <v>104223773.15973961</v>
      </c>
      <c r="G148" s="476">
        <f t="shared" si="32"/>
        <v>116308149.72458689</v>
      </c>
      <c r="H148" s="476">
        <f t="shared" si="32"/>
        <v>178130491.57068938</v>
      </c>
      <c r="I148" s="476">
        <f t="shared" si="32"/>
        <v>183540197.79669505</v>
      </c>
      <c r="J148" s="476">
        <f t="shared" si="32"/>
        <v>198177124.01936239</v>
      </c>
      <c r="K148" s="476">
        <f t="shared" si="32"/>
        <v>220010849.60774493</v>
      </c>
      <c r="L148" s="476">
        <f t="shared" si="32"/>
        <v>242137785.84543484</v>
      </c>
      <c r="M148" s="476">
        <f t="shared" si="32"/>
        <v>21828380.651018195</v>
      </c>
      <c r="N148" s="476">
        <f t="shared" si="32"/>
        <v>21069618.961567353</v>
      </c>
      <c r="O148" s="476">
        <f t="shared" si="32"/>
        <v>21981266.079369057</v>
      </c>
    </row>
    <row r="149" spans="1:15" ht="18" x14ac:dyDescent="0.25">
      <c r="A149" s="461">
        <v>401</v>
      </c>
      <c r="B149" s="462"/>
      <c r="C149" s="463" t="s">
        <v>607</v>
      </c>
      <c r="D149" s="463" t="s">
        <v>355</v>
      </c>
      <c r="E149" s="474">
        <v>28361988.816558171</v>
      </c>
      <c r="F149" s="474">
        <v>49673034.551827744</v>
      </c>
      <c r="G149" s="474">
        <v>51044349.858120523</v>
      </c>
      <c r="H149" s="474">
        <v>60341207.644800536</v>
      </c>
      <c r="I149" s="474">
        <v>67202378.567851767</v>
      </c>
      <c r="J149" s="474">
        <v>63964296.444667004</v>
      </c>
      <c r="K149" s="474">
        <v>68894888.165581703</v>
      </c>
      <c r="L149" s="474">
        <v>77553964.27975297</v>
      </c>
      <c r="M149" s="474">
        <v>6723783.7560507432</v>
      </c>
      <c r="N149" s="474">
        <v>6842544.2705725264</v>
      </c>
      <c r="O149" s="474">
        <v>6878901.8410949754</v>
      </c>
    </row>
    <row r="150" spans="1:15" x14ac:dyDescent="0.2">
      <c r="A150" s="446">
        <v>413301</v>
      </c>
      <c r="B150" s="437"/>
      <c r="C150" s="421" t="s">
        <v>356</v>
      </c>
      <c r="D150" s="421" t="s">
        <v>1025</v>
      </c>
      <c r="E150" s="442">
        <v>57331409.614421636</v>
      </c>
      <c r="F150" s="442">
        <v>54550738.60791187</v>
      </c>
      <c r="G150" s="442">
        <v>65263799.866466366</v>
      </c>
      <c r="H150" s="442">
        <v>117789283.92588884</v>
      </c>
      <c r="I150" s="442">
        <v>116337819.22884327</v>
      </c>
      <c r="J150" s="442">
        <v>134212827.57469538</v>
      </c>
      <c r="K150" s="442">
        <v>151115961.44216323</v>
      </c>
      <c r="L150" s="442">
        <v>164583821.56568187</v>
      </c>
      <c r="M150" s="442">
        <v>15104596.894967454</v>
      </c>
      <c r="N150" s="442">
        <v>14227074.690994827</v>
      </c>
      <c r="O150" s="442">
        <v>15102364.238274083</v>
      </c>
    </row>
    <row r="151" spans="1:15" x14ac:dyDescent="0.2">
      <c r="A151" s="436">
        <v>413310</v>
      </c>
      <c r="B151" s="437"/>
      <c r="C151" s="421" t="s">
        <v>357</v>
      </c>
      <c r="D151" s="421" t="s">
        <v>358</v>
      </c>
      <c r="E151" s="442" t="s">
        <v>845</v>
      </c>
      <c r="F151" s="442" t="s">
        <v>845</v>
      </c>
      <c r="G151" s="442" t="s">
        <v>845</v>
      </c>
      <c r="H151" s="442" t="s">
        <v>845</v>
      </c>
      <c r="I151" s="442" t="s">
        <v>845</v>
      </c>
      <c r="J151" s="442" t="s">
        <v>845</v>
      </c>
      <c r="K151" s="442" t="s">
        <v>845</v>
      </c>
      <c r="L151" s="442" t="s">
        <v>845</v>
      </c>
      <c r="M151" s="442" t="s">
        <v>845</v>
      </c>
      <c r="N151" s="442" t="s">
        <v>845</v>
      </c>
      <c r="O151" s="442" t="s">
        <v>845</v>
      </c>
    </row>
    <row r="152" spans="1:15" x14ac:dyDescent="0.2">
      <c r="A152" s="436"/>
      <c r="B152" s="437"/>
      <c r="C152" s="421"/>
      <c r="D152" s="421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</row>
    <row r="153" spans="1:15" ht="20.25" x14ac:dyDescent="0.3">
      <c r="A153" s="458"/>
      <c r="B153" s="459"/>
      <c r="C153" s="460" t="s">
        <v>619</v>
      </c>
      <c r="D153" s="460" t="s">
        <v>850</v>
      </c>
      <c r="E153" s="476">
        <f t="shared" ref="E153:O153" si="33">E154+E155</f>
        <v>404677270.07177436</v>
      </c>
      <c r="F153" s="476">
        <f t="shared" si="33"/>
        <v>573670205.30796194</v>
      </c>
      <c r="G153" s="476">
        <f t="shared" si="33"/>
        <v>714778313.30328822</v>
      </c>
      <c r="H153" s="476">
        <f t="shared" si="33"/>
        <v>838082035.55332994</v>
      </c>
      <c r="I153" s="476">
        <f t="shared" si="33"/>
        <v>916339747.12068105</v>
      </c>
      <c r="J153" s="476">
        <f t="shared" si="33"/>
        <v>1014646202.6372893</v>
      </c>
      <c r="K153" s="476">
        <f t="shared" si="33"/>
        <v>1155644266.3995996</v>
      </c>
      <c r="L153" s="476">
        <f t="shared" si="33"/>
        <v>1234305274.5785346</v>
      </c>
      <c r="M153" s="476">
        <f t="shared" si="33"/>
        <v>77775690.657194138</v>
      </c>
      <c r="N153" s="476">
        <f t="shared" si="33"/>
        <v>90921840.028417632</v>
      </c>
      <c r="O153" s="476">
        <f t="shared" si="33"/>
        <v>124792448.14863965</v>
      </c>
    </row>
    <row r="154" spans="1:15" ht="18" x14ac:dyDescent="0.25">
      <c r="A154" s="461">
        <v>402</v>
      </c>
      <c r="B154" s="462"/>
      <c r="C154" s="463" t="s">
        <v>359</v>
      </c>
      <c r="D154" s="463" t="s">
        <v>620</v>
      </c>
      <c r="E154" s="474">
        <v>163779761.30862963</v>
      </c>
      <c r="F154" s="474">
        <v>208407323.48522785</v>
      </c>
      <c r="G154" s="474">
        <v>259689425.80537474</v>
      </c>
      <c r="H154" s="474">
        <v>317569191.28693038</v>
      </c>
      <c r="I154" s="474">
        <v>325189709.56434655</v>
      </c>
      <c r="J154" s="474">
        <v>375716074.11116678</v>
      </c>
      <c r="K154" s="474">
        <v>442649223.83575368</v>
      </c>
      <c r="L154" s="474">
        <v>546415731.93123019</v>
      </c>
      <c r="M154" s="474">
        <v>24254187.228050411</v>
      </c>
      <c r="N154" s="474">
        <v>34481225.832582213</v>
      </c>
      <c r="O154" s="474">
        <v>58843685.247162417</v>
      </c>
    </row>
    <row r="155" spans="1:15" x14ac:dyDescent="0.2">
      <c r="A155" s="436">
        <v>413302</v>
      </c>
      <c r="B155" s="437"/>
      <c r="C155" s="421" t="s">
        <v>63</v>
      </c>
      <c r="D155" s="421" t="s">
        <v>360</v>
      </c>
      <c r="E155" s="442">
        <v>240897508.76314473</v>
      </c>
      <c r="F155" s="442">
        <v>365262881.82273412</v>
      </c>
      <c r="G155" s="442">
        <v>455088887.49791354</v>
      </c>
      <c r="H155" s="442">
        <v>520512844.26639962</v>
      </c>
      <c r="I155" s="442">
        <v>591150037.5563345</v>
      </c>
      <c r="J155" s="442">
        <v>638930128.52612257</v>
      </c>
      <c r="K155" s="442">
        <v>712995042.56384575</v>
      </c>
      <c r="L155" s="442">
        <v>687889542.64730442</v>
      </c>
      <c r="M155" s="442">
        <v>53521503.429143719</v>
      </c>
      <c r="N155" s="442">
        <v>56440614.195835419</v>
      </c>
      <c r="O155" s="442">
        <v>65948762.901477225</v>
      </c>
    </row>
    <row r="156" spans="1:15" x14ac:dyDescent="0.2">
      <c r="A156" s="436"/>
      <c r="B156" s="437"/>
      <c r="C156" s="421"/>
      <c r="D156" s="421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</row>
    <row r="157" spans="1:15" ht="18" x14ac:dyDescent="0.25">
      <c r="A157" s="461">
        <v>403</v>
      </c>
      <c r="B157" s="462"/>
      <c r="C157" s="463" t="s">
        <v>957</v>
      </c>
      <c r="D157" s="463" t="s">
        <v>958</v>
      </c>
      <c r="E157" s="474">
        <f t="shared" ref="E157:O157" si="34">SUM(E158:E162)</f>
        <v>9117684.8606242705</v>
      </c>
      <c r="F157" s="474">
        <f t="shared" si="34"/>
        <v>54764934.90235354</v>
      </c>
      <c r="G157" s="474">
        <f t="shared" si="34"/>
        <v>83103309.130362228</v>
      </c>
      <c r="H157" s="474">
        <f t="shared" si="34"/>
        <v>82656426.306125864</v>
      </c>
      <c r="I157" s="474">
        <f t="shared" si="34"/>
        <v>89893014.521782681</v>
      </c>
      <c r="J157" s="474">
        <f t="shared" si="34"/>
        <v>90784485.060924724</v>
      </c>
      <c r="K157" s="474">
        <f t="shared" si="34"/>
        <v>117832035.55333</v>
      </c>
      <c r="L157" s="474">
        <f t="shared" si="34"/>
        <v>131471469.70455685</v>
      </c>
      <c r="M157" s="474">
        <f t="shared" si="34"/>
        <v>18061968.026039056</v>
      </c>
      <c r="N157" s="474">
        <f t="shared" si="34"/>
        <v>5316736.7932315134</v>
      </c>
      <c r="O157" s="474">
        <f t="shared" si="34"/>
        <v>1562372.0194875647</v>
      </c>
    </row>
    <row r="158" spans="1:15" ht="15.75" x14ac:dyDescent="0.25">
      <c r="A158" s="419">
        <v>4030</v>
      </c>
      <c r="B158" s="420"/>
      <c r="C158" s="418" t="s">
        <v>168</v>
      </c>
      <c r="D158" s="418" t="s">
        <v>361</v>
      </c>
      <c r="E158" s="466">
        <v>0</v>
      </c>
      <c r="F158" s="466">
        <v>0</v>
      </c>
      <c r="G158" s="466">
        <v>0</v>
      </c>
      <c r="H158" s="466">
        <v>0</v>
      </c>
      <c r="I158" s="466">
        <v>0</v>
      </c>
      <c r="J158" s="466">
        <v>0</v>
      </c>
      <c r="K158" s="466">
        <v>0</v>
      </c>
      <c r="L158" s="466">
        <v>0</v>
      </c>
      <c r="M158" s="466">
        <v>0</v>
      </c>
      <c r="N158" s="466">
        <v>0</v>
      </c>
      <c r="O158" s="466">
        <v>0</v>
      </c>
    </row>
    <row r="159" spans="1:15" ht="15.75" x14ac:dyDescent="0.25">
      <c r="A159" s="419">
        <v>4031</v>
      </c>
      <c r="B159" s="420"/>
      <c r="C159" s="418" t="s">
        <v>169</v>
      </c>
      <c r="D159" s="418" t="s">
        <v>170</v>
      </c>
      <c r="E159" s="466">
        <v>4082336.0040060091</v>
      </c>
      <c r="F159" s="466">
        <v>4899298.948422635</v>
      </c>
      <c r="G159" s="466">
        <v>5263361.7092305133</v>
      </c>
      <c r="H159" s="466">
        <v>8510787.0138541143</v>
      </c>
      <c r="I159" s="466">
        <v>9705537.4728759825</v>
      </c>
      <c r="J159" s="466">
        <v>15790711.0665999</v>
      </c>
      <c r="K159" s="466">
        <v>15310106.826907028</v>
      </c>
      <c r="L159" s="466">
        <v>22138432.648973461</v>
      </c>
      <c r="M159" s="466">
        <v>3051455.2960273745</v>
      </c>
      <c r="N159" s="466">
        <v>542533.43310799543</v>
      </c>
      <c r="O159" s="466">
        <v>430498.95251210156</v>
      </c>
    </row>
    <row r="160" spans="1:15" ht="15.75" x14ac:dyDescent="0.25">
      <c r="A160" s="419">
        <v>4032</v>
      </c>
      <c r="B160" s="420"/>
      <c r="C160" s="418" t="s">
        <v>171</v>
      </c>
      <c r="D160" s="418" t="s">
        <v>172</v>
      </c>
      <c r="E160" s="466">
        <v>0</v>
      </c>
      <c r="F160" s="466">
        <v>0</v>
      </c>
      <c r="G160" s="466">
        <v>0</v>
      </c>
      <c r="H160" s="466">
        <v>0</v>
      </c>
      <c r="I160" s="466">
        <v>0</v>
      </c>
      <c r="J160" s="466">
        <v>0</v>
      </c>
      <c r="K160" s="466">
        <v>24636.955433149727</v>
      </c>
      <c r="L160" s="466">
        <v>44800.534134535141</v>
      </c>
      <c r="M160" s="466">
        <v>279.58604573526958</v>
      </c>
      <c r="N160" s="466">
        <v>726.08913370055086</v>
      </c>
      <c r="O160" s="466">
        <v>5149.3907527958609</v>
      </c>
    </row>
    <row r="161" spans="1:15" ht="15.75" x14ac:dyDescent="0.25">
      <c r="A161" s="419">
        <v>4033</v>
      </c>
      <c r="B161" s="420"/>
      <c r="C161" s="418" t="s">
        <v>173</v>
      </c>
      <c r="D161" s="418" t="s">
        <v>174</v>
      </c>
      <c r="E161" s="466">
        <v>0</v>
      </c>
      <c r="F161" s="466">
        <v>3718.0771156735104</v>
      </c>
      <c r="G161" s="466">
        <v>3805.7085628442665</v>
      </c>
      <c r="H161" s="466">
        <v>1716257.7199132033</v>
      </c>
      <c r="I161" s="466">
        <v>1098547.8217325991</v>
      </c>
      <c r="J161" s="466">
        <v>1090965.6150893006</v>
      </c>
      <c r="K161" s="466">
        <v>1695317.9769654481</v>
      </c>
      <c r="L161" s="466">
        <v>658934.23468536139</v>
      </c>
      <c r="M161" s="466">
        <v>64388.577532966126</v>
      </c>
      <c r="N161" s="466">
        <v>26512.956935403108</v>
      </c>
      <c r="O161" s="466">
        <v>94651.04026873644</v>
      </c>
    </row>
    <row r="162" spans="1:15" ht="15.75" x14ac:dyDescent="0.25">
      <c r="A162" s="419">
        <v>4034</v>
      </c>
      <c r="B162" s="420"/>
      <c r="C162" s="418" t="s">
        <v>175</v>
      </c>
      <c r="D162" s="418" t="s">
        <v>362</v>
      </c>
      <c r="E162" s="466">
        <v>5035348.856618261</v>
      </c>
      <c r="F162" s="466">
        <v>49861917.87681523</v>
      </c>
      <c r="G162" s="466">
        <v>77836141.712568864</v>
      </c>
      <c r="H162" s="466">
        <v>72429381.572358549</v>
      </c>
      <c r="I162" s="466">
        <v>79088929.227174103</v>
      </c>
      <c r="J162" s="466">
        <v>73902808.379235521</v>
      </c>
      <c r="K162" s="466">
        <v>100801973.79402438</v>
      </c>
      <c r="L162" s="466">
        <v>108629302.28676349</v>
      </c>
      <c r="M162" s="466">
        <v>14945844.566432981</v>
      </c>
      <c r="N162" s="466">
        <v>4746964.3140544146</v>
      </c>
      <c r="O162" s="466">
        <v>1032072.6359539308</v>
      </c>
    </row>
    <row r="163" spans="1:15" ht="15.75" x14ac:dyDescent="0.25">
      <c r="A163" s="419">
        <v>4035</v>
      </c>
      <c r="B163" s="420"/>
      <c r="C163" s="418" t="s">
        <v>363</v>
      </c>
      <c r="D163" s="418" t="s">
        <v>364</v>
      </c>
      <c r="E163" s="466" t="s">
        <v>845</v>
      </c>
      <c r="F163" s="466" t="s">
        <v>845</v>
      </c>
      <c r="G163" s="466" t="s">
        <v>845</v>
      </c>
      <c r="H163" s="466" t="s">
        <v>845</v>
      </c>
      <c r="I163" s="466" t="s">
        <v>845</v>
      </c>
      <c r="J163" s="466" t="s">
        <v>845</v>
      </c>
      <c r="K163" s="466" t="s">
        <v>845</v>
      </c>
      <c r="L163" s="466" t="s">
        <v>845</v>
      </c>
      <c r="M163" s="466" t="s">
        <v>845</v>
      </c>
      <c r="N163" s="466" t="s">
        <v>845</v>
      </c>
      <c r="O163" s="466" t="s">
        <v>845</v>
      </c>
    </row>
    <row r="164" spans="1:15" x14ac:dyDescent="0.2">
      <c r="A164" s="436"/>
      <c r="B164" s="437"/>
      <c r="C164" s="421" t="s">
        <v>1028</v>
      </c>
      <c r="D164" s="421" t="s">
        <v>1028</v>
      </c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</row>
    <row r="165" spans="1:15" ht="18" x14ac:dyDescent="0.25">
      <c r="A165" s="461">
        <v>404</v>
      </c>
      <c r="B165" s="462"/>
      <c r="C165" s="463" t="s">
        <v>365</v>
      </c>
      <c r="D165" s="463" t="s">
        <v>970</v>
      </c>
      <c r="E165" s="474">
        <f t="shared" ref="E165:L165" si="35">SUM(E166:E169)</f>
        <v>11870000.834585212</v>
      </c>
      <c r="F165" s="474">
        <f t="shared" si="35"/>
        <v>20587176.598230679</v>
      </c>
      <c r="G165" s="474">
        <f t="shared" si="35"/>
        <v>29182619.762977801</v>
      </c>
      <c r="H165" s="474">
        <f t="shared" si="35"/>
        <v>24161538.14054415</v>
      </c>
      <c r="I165" s="474">
        <f t="shared" si="35"/>
        <v>39973952.595560014</v>
      </c>
      <c r="J165" s="474">
        <f t="shared" si="35"/>
        <v>53959084.460023373</v>
      </c>
      <c r="K165" s="474">
        <f t="shared" si="35"/>
        <v>56266032.381906196</v>
      </c>
      <c r="L165" s="474">
        <f t="shared" si="35"/>
        <v>81119899.432482064</v>
      </c>
      <c r="M165" s="474">
        <f t="shared" ref="M165:O165" si="36">SUM(M166:M170)</f>
        <v>2489793.5954348189</v>
      </c>
      <c r="N165" s="474">
        <f t="shared" si="36"/>
        <v>11197153.127900185</v>
      </c>
      <c r="O165" s="474">
        <f t="shared" si="36"/>
        <v>23942095.495284595</v>
      </c>
    </row>
    <row r="166" spans="1:15" ht="15.75" x14ac:dyDescent="0.25">
      <c r="A166" s="419">
        <v>4040</v>
      </c>
      <c r="B166" s="420"/>
      <c r="C166" s="418" t="s">
        <v>176</v>
      </c>
      <c r="D166" s="418" t="s">
        <v>972</v>
      </c>
      <c r="E166" s="466">
        <v>9625267.0672675688</v>
      </c>
      <c r="F166" s="466">
        <v>0</v>
      </c>
      <c r="G166" s="466">
        <v>19994178.768152229</v>
      </c>
      <c r="H166" s="466">
        <v>15243744.783842431</v>
      </c>
      <c r="I166" s="466">
        <v>17820080.120180272</v>
      </c>
      <c r="J166" s="466">
        <v>17612773.326656654</v>
      </c>
      <c r="K166" s="466">
        <v>14360887.164079454</v>
      </c>
      <c r="L166" s="466">
        <v>16596467.242530463</v>
      </c>
      <c r="M166" s="466">
        <v>2323423.286346186</v>
      </c>
      <c r="N166" s="466">
        <v>1496505.2811300284</v>
      </c>
      <c r="O166" s="466">
        <v>2438829.9176681689</v>
      </c>
    </row>
    <row r="167" spans="1:15" ht="15.75" x14ac:dyDescent="0.25">
      <c r="A167" s="419">
        <v>4041</v>
      </c>
      <c r="B167" s="420"/>
      <c r="C167" s="418" t="s">
        <v>177</v>
      </c>
      <c r="D167" s="418" t="s">
        <v>974</v>
      </c>
      <c r="E167" s="466">
        <v>0</v>
      </c>
      <c r="F167" s="466">
        <v>0</v>
      </c>
      <c r="G167" s="466">
        <v>0</v>
      </c>
      <c r="H167" s="466">
        <v>0</v>
      </c>
      <c r="I167" s="466">
        <v>0</v>
      </c>
      <c r="J167" s="466">
        <v>0</v>
      </c>
      <c r="K167" s="466">
        <v>3906263.562009681</v>
      </c>
      <c r="L167" s="466">
        <v>2136723.7940243697</v>
      </c>
      <c r="M167" s="466">
        <v>0</v>
      </c>
      <c r="N167" s="466">
        <v>0</v>
      </c>
      <c r="O167" s="466">
        <v>0</v>
      </c>
    </row>
    <row r="168" spans="1:15" ht="15.75" x14ac:dyDescent="0.25">
      <c r="A168" s="419">
        <v>4042</v>
      </c>
      <c r="B168" s="420"/>
      <c r="C168" s="418" t="s">
        <v>178</v>
      </c>
      <c r="D168" s="418" t="s">
        <v>179</v>
      </c>
      <c r="E168" s="466">
        <v>2244733.7673176434</v>
      </c>
      <c r="F168" s="466">
        <v>20587176.598230679</v>
      </c>
      <c r="G168" s="466">
        <v>9179202.1365381405</v>
      </c>
      <c r="H168" s="466">
        <v>2979072.7758304123</v>
      </c>
      <c r="I168" s="466">
        <v>5415527.4578534476</v>
      </c>
      <c r="J168" s="466">
        <v>5957377.7332665669</v>
      </c>
      <c r="K168" s="466">
        <v>6862773.3266566517</v>
      </c>
      <c r="L168" s="466">
        <v>9033656.3178100474</v>
      </c>
      <c r="M168" s="466">
        <v>166370.30908863296</v>
      </c>
      <c r="N168" s="466">
        <v>0</v>
      </c>
      <c r="O168" s="466">
        <v>5152608.3417626442</v>
      </c>
    </row>
    <row r="169" spans="1:15" ht="15.75" x14ac:dyDescent="0.25">
      <c r="A169" s="419">
        <v>4043</v>
      </c>
      <c r="B169" s="420"/>
      <c r="C169" s="418" t="s">
        <v>180</v>
      </c>
      <c r="D169" s="418" t="s">
        <v>366</v>
      </c>
      <c r="E169" s="466">
        <v>0</v>
      </c>
      <c r="F169" s="466">
        <v>0</v>
      </c>
      <c r="G169" s="466">
        <v>9238.8582874311469</v>
      </c>
      <c r="H169" s="466">
        <v>5938720.5808713073</v>
      </c>
      <c r="I169" s="466">
        <v>16738345.017526291</v>
      </c>
      <c r="J169" s="466">
        <v>30388933.400100153</v>
      </c>
      <c r="K169" s="466">
        <v>31136108.329160407</v>
      </c>
      <c r="L169" s="466">
        <v>53353052.078117177</v>
      </c>
      <c r="M169" s="466">
        <v>0</v>
      </c>
      <c r="N169" s="466">
        <v>0</v>
      </c>
      <c r="O169" s="466">
        <v>0</v>
      </c>
    </row>
    <row r="170" spans="1:15" ht="15.75" x14ac:dyDescent="0.25">
      <c r="A170" s="511">
        <v>4044</v>
      </c>
      <c r="B170" s="547"/>
      <c r="C170" s="548" t="s">
        <v>834</v>
      </c>
      <c r="D170" s="548" t="s">
        <v>367</v>
      </c>
      <c r="E170" s="466"/>
      <c r="F170" s="466"/>
      <c r="G170" s="466"/>
      <c r="H170" s="466"/>
      <c r="I170" s="466"/>
      <c r="J170" s="466"/>
      <c r="K170" s="466"/>
      <c r="L170" s="466"/>
      <c r="M170" s="466">
        <v>0</v>
      </c>
      <c r="N170" s="466">
        <v>9700647.8467701562</v>
      </c>
      <c r="O170" s="466">
        <v>16350657.235853782</v>
      </c>
    </row>
    <row r="171" spans="1:15" x14ac:dyDescent="0.2">
      <c r="A171" s="436"/>
      <c r="B171" s="437"/>
      <c r="C171" s="421" t="s">
        <v>1028</v>
      </c>
      <c r="D171" s="421" t="s">
        <v>1028</v>
      </c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</row>
    <row r="172" spans="1:15" ht="18" x14ac:dyDescent="0.25">
      <c r="A172" s="461">
        <v>409</v>
      </c>
      <c r="B172" s="462"/>
      <c r="C172" s="463" t="s">
        <v>368</v>
      </c>
      <c r="D172" s="463" t="s">
        <v>980</v>
      </c>
      <c r="E172" s="474">
        <f t="shared" ref="E172:O172" si="37">E173+E174+E175</f>
        <v>8628142.2133199815</v>
      </c>
      <c r="F172" s="474">
        <f t="shared" si="37"/>
        <v>8582786.6800200306</v>
      </c>
      <c r="G172" s="474">
        <f t="shared" si="37"/>
        <v>4235816.2243365049</v>
      </c>
      <c r="H172" s="474">
        <f t="shared" si="37"/>
        <v>5112139.0418961784</v>
      </c>
      <c r="I172" s="474">
        <f t="shared" si="37"/>
        <v>7440318.8115506591</v>
      </c>
      <c r="J172" s="474">
        <f t="shared" si="37"/>
        <v>7244717.0756134205</v>
      </c>
      <c r="K172" s="474">
        <f t="shared" si="37"/>
        <v>44704778.000333846</v>
      </c>
      <c r="L172" s="474">
        <f t="shared" si="37"/>
        <v>44033596.227674842</v>
      </c>
      <c r="M172" s="474">
        <f t="shared" si="37"/>
        <v>127921.04823902521</v>
      </c>
      <c r="N172" s="474">
        <f t="shared" si="37"/>
        <v>5099666.3434318146</v>
      </c>
      <c r="O172" s="474">
        <f t="shared" si="37"/>
        <v>2584397.4294775496</v>
      </c>
    </row>
    <row r="173" spans="1:15" ht="15.75" x14ac:dyDescent="0.25">
      <c r="A173" s="419">
        <v>4090</v>
      </c>
      <c r="B173" s="420"/>
      <c r="C173" s="418" t="s">
        <v>181</v>
      </c>
      <c r="D173" s="418" t="s">
        <v>369</v>
      </c>
      <c r="E173" s="466">
        <v>675250.37556334503</v>
      </c>
      <c r="F173" s="466">
        <v>1688578.7013854114</v>
      </c>
      <c r="G173" s="466">
        <v>1147775.8304122852</v>
      </c>
      <c r="H173" s="466">
        <v>2393022.8676347858</v>
      </c>
      <c r="I173" s="466">
        <v>3074232.1816057418</v>
      </c>
      <c r="J173" s="466">
        <v>3385449.006843599</v>
      </c>
      <c r="K173" s="466">
        <v>4233203.9726256048</v>
      </c>
      <c r="L173" s="466">
        <v>4940619.2622266738</v>
      </c>
      <c r="M173" s="466">
        <v>0</v>
      </c>
      <c r="N173" s="466">
        <v>0</v>
      </c>
      <c r="O173" s="466">
        <v>0</v>
      </c>
    </row>
    <row r="174" spans="1:15" ht="15.75" x14ac:dyDescent="0.25">
      <c r="A174" s="419">
        <v>4091</v>
      </c>
      <c r="B174" s="420"/>
      <c r="C174" s="418" t="s">
        <v>182</v>
      </c>
      <c r="D174" s="418" t="s">
        <v>370</v>
      </c>
      <c r="E174" s="466">
        <v>7392338.5077616433</v>
      </c>
      <c r="F174" s="466">
        <v>6677921.0482390253</v>
      </c>
      <c r="G174" s="466">
        <v>1669170.4223001171</v>
      </c>
      <c r="H174" s="466">
        <v>1669170.4223001171</v>
      </c>
      <c r="I174" s="466">
        <v>4172926.0557502923</v>
      </c>
      <c r="J174" s="466">
        <v>1543982.6406276082</v>
      </c>
      <c r="K174" s="466">
        <v>39966437.155733608</v>
      </c>
      <c r="L174" s="466">
        <v>39092976.965448171</v>
      </c>
      <c r="M174" s="466">
        <v>127921.04823902521</v>
      </c>
      <c r="N174" s="466">
        <v>5099666.3434318146</v>
      </c>
      <c r="O174" s="466">
        <v>2584397.4294775496</v>
      </c>
    </row>
    <row r="175" spans="1:15" ht="15.75" x14ac:dyDescent="0.25">
      <c r="A175" s="419">
        <v>4092</v>
      </c>
      <c r="B175" s="420"/>
      <c r="C175" s="418" t="s">
        <v>985</v>
      </c>
      <c r="D175" s="418" t="s">
        <v>986</v>
      </c>
      <c r="E175" s="466">
        <v>560553.32999499247</v>
      </c>
      <c r="F175" s="466">
        <v>216286.9303955934</v>
      </c>
      <c r="G175" s="466">
        <v>1418869.9716241029</v>
      </c>
      <c r="H175" s="466">
        <v>1049945.7519612755</v>
      </c>
      <c r="I175" s="466">
        <v>193160.57419462528</v>
      </c>
      <c r="J175" s="466">
        <v>2315285.4281422133</v>
      </c>
      <c r="K175" s="466">
        <v>505136.87197462865</v>
      </c>
      <c r="L175" s="466">
        <v>0</v>
      </c>
      <c r="M175" s="466">
        <v>0</v>
      </c>
      <c r="N175" s="466">
        <v>0</v>
      </c>
      <c r="O175" s="466">
        <v>0</v>
      </c>
    </row>
    <row r="176" spans="1:15" ht="15.75" x14ac:dyDescent="0.25">
      <c r="A176" s="419">
        <v>4093</v>
      </c>
      <c r="B176" s="420"/>
      <c r="C176" s="418" t="s">
        <v>875</v>
      </c>
      <c r="D176" s="418" t="s">
        <v>183</v>
      </c>
      <c r="E176" s="466"/>
      <c r="F176" s="466"/>
      <c r="G176" s="466"/>
      <c r="H176" s="466"/>
      <c r="I176" s="466"/>
      <c r="J176" s="466"/>
      <c r="K176" s="466"/>
      <c r="L176" s="466"/>
      <c r="M176" s="466"/>
      <c r="N176" s="466"/>
      <c r="O176" s="466"/>
    </row>
    <row r="177" spans="1:15" x14ac:dyDescent="0.2">
      <c r="A177" s="436"/>
      <c r="B177" s="437"/>
      <c r="C177" s="421" t="s">
        <v>1028</v>
      </c>
      <c r="D177" s="421" t="s">
        <v>1028</v>
      </c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</row>
    <row r="178" spans="1:15" ht="20.25" x14ac:dyDescent="0.3">
      <c r="A178" s="458">
        <v>41</v>
      </c>
      <c r="B178" s="459"/>
      <c r="C178" s="460" t="s">
        <v>987</v>
      </c>
      <c r="D178" s="460" t="s">
        <v>988</v>
      </c>
      <c r="E178" s="476">
        <f t="shared" ref="E178:O178" si="38">E180+E185+E196+E199+E207</f>
        <v>833319587.71490574</v>
      </c>
      <c r="F178" s="476">
        <f t="shared" si="38"/>
        <v>1208591942.0797863</v>
      </c>
      <c r="G178" s="476">
        <f t="shared" si="38"/>
        <v>1544929702.8876653</v>
      </c>
      <c r="H178" s="476">
        <f t="shared" si="38"/>
        <v>1847027103.1547322</v>
      </c>
      <c r="I178" s="476">
        <f t="shared" si="38"/>
        <v>2041640110.1652477</v>
      </c>
      <c r="J178" s="476">
        <f t="shared" si="38"/>
        <v>2383349419.9632778</v>
      </c>
      <c r="K178" s="476">
        <f t="shared" si="38"/>
        <v>2675483375.0625935</v>
      </c>
      <c r="L178" s="476">
        <f t="shared" si="38"/>
        <v>3078028516.9420791</v>
      </c>
      <c r="M178" s="476">
        <f t="shared" si="38"/>
        <v>243193800.36997163</v>
      </c>
      <c r="N178" s="476">
        <f t="shared" si="38"/>
        <v>255251146.58896682</v>
      </c>
      <c r="O178" s="476">
        <f t="shared" si="38"/>
        <v>266002642.50634286</v>
      </c>
    </row>
    <row r="179" spans="1:15" x14ac:dyDescent="0.2">
      <c r="A179" s="436"/>
      <c r="B179" s="437"/>
      <c r="C179" s="421" t="s">
        <v>1028</v>
      </c>
      <c r="D179" s="421" t="s">
        <v>1028</v>
      </c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</row>
    <row r="180" spans="1:15" ht="18" x14ac:dyDescent="0.25">
      <c r="A180" s="461">
        <v>410</v>
      </c>
      <c r="B180" s="462"/>
      <c r="C180" s="463" t="s">
        <v>990</v>
      </c>
      <c r="D180" s="463" t="s">
        <v>991</v>
      </c>
      <c r="E180" s="474">
        <f t="shared" ref="E180:O180" si="39">E181+E182+E183</f>
        <v>124284848.10549158</v>
      </c>
      <c r="F180" s="474">
        <f t="shared" si="39"/>
        <v>156796181.772659</v>
      </c>
      <c r="G180" s="474">
        <f t="shared" si="39"/>
        <v>150867734.93573695</v>
      </c>
      <c r="H180" s="474">
        <f t="shared" si="39"/>
        <v>174206409.61442164</v>
      </c>
      <c r="I180" s="474">
        <f t="shared" si="39"/>
        <v>144161346.1859456</v>
      </c>
      <c r="J180" s="474">
        <f t="shared" si="39"/>
        <v>166752841.76264399</v>
      </c>
      <c r="K180" s="474">
        <f t="shared" si="39"/>
        <v>205470301.28526121</v>
      </c>
      <c r="L180" s="474">
        <f t="shared" si="39"/>
        <v>263262463.69554332</v>
      </c>
      <c r="M180" s="474">
        <f t="shared" si="39"/>
        <v>842119.43331664172</v>
      </c>
      <c r="N180" s="474">
        <f t="shared" si="39"/>
        <v>8967893.6448839922</v>
      </c>
      <c r="O180" s="474">
        <f t="shared" si="39"/>
        <v>12651370.35273744</v>
      </c>
    </row>
    <row r="181" spans="1:15" ht="15.75" x14ac:dyDescent="0.25">
      <c r="A181" s="419">
        <v>4100</v>
      </c>
      <c r="B181" s="420"/>
      <c r="C181" s="418" t="s">
        <v>992</v>
      </c>
      <c r="D181" s="418" t="s">
        <v>993</v>
      </c>
      <c r="E181" s="466">
        <v>32407277.583041232</v>
      </c>
      <c r="F181" s="466">
        <v>50680658.487731598</v>
      </c>
      <c r="G181" s="466">
        <v>48065565.014187954</v>
      </c>
      <c r="H181" s="466">
        <v>48053242.363545321</v>
      </c>
      <c r="I181" s="466">
        <v>50898276.581538983</v>
      </c>
      <c r="J181" s="466">
        <v>59075842.931063265</v>
      </c>
      <c r="K181" s="466">
        <v>76536283.592054754</v>
      </c>
      <c r="L181" s="466">
        <v>89670766.149223834</v>
      </c>
      <c r="M181" s="466">
        <v>417964.44667000504</v>
      </c>
      <c r="N181" s="466">
        <v>589958.21649140387</v>
      </c>
      <c r="O181" s="466">
        <v>8062800.2959439158</v>
      </c>
    </row>
    <row r="182" spans="1:15" ht="15.75" x14ac:dyDescent="0.25">
      <c r="A182" s="419">
        <v>4101</v>
      </c>
      <c r="B182" s="420"/>
      <c r="C182" s="418" t="s">
        <v>994</v>
      </c>
      <c r="D182" s="418" t="s">
        <v>995</v>
      </c>
      <c r="E182" s="466">
        <v>0</v>
      </c>
      <c r="F182" s="466">
        <v>0</v>
      </c>
      <c r="G182" s="466">
        <v>0</v>
      </c>
      <c r="H182" s="466">
        <v>0</v>
      </c>
      <c r="I182" s="466">
        <v>0</v>
      </c>
      <c r="J182" s="466">
        <v>0</v>
      </c>
      <c r="K182" s="466">
        <v>0</v>
      </c>
      <c r="L182" s="466">
        <v>0</v>
      </c>
      <c r="M182" s="466">
        <v>0</v>
      </c>
      <c r="N182" s="466">
        <v>0</v>
      </c>
      <c r="O182" s="466">
        <v>0</v>
      </c>
    </row>
    <row r="183" spans="1:15" ht="15.75" x14ac:dyDescent="0.25">
      <c r="A183" s="419">
        <v>4102</v>
      </c>
      <c r="B183" s="420"/>
      <c r="C183" s="418" t="s">
        <v>996</v>
      </c>
      <c r="D183" s="418" t="s">
        <v>371</v>
      </c>
      <c r="E183" s="466">
        <v>91877570.522450343</v>
      </c>
      <c r="F183" s="466">
        <v>106115523.2849274</v>
      </c>
      <c r="G183" s="466">
        <v>102802169.92154899</v>
      </c>
      <c r="H183" s="466">
        <v>126153167.25087631</v>
      </c>
      <c r="I183" s="466">
        <v>93263069.60440661</v>
      </c>
      <c r="J183" s="466">
        <v>107676998.83158071</v>
      </c>
      <c r="K183" s="466">
        <v>128934017.69320647</v>
      </c>
      <c r="L183" s="466">
        <v>173591697.54631948</v>
      </c>
      <c r="M183" s="466">
        <v>424154.98664663662</v>
      </c>
      <c r="N183" s="466">
        <v>8377935.4283925891</v>
      </c>
      <c r="O183" s="466">
        <v>4588570.056793524</v>
      </c>
    </row>
    <row r="184" spans="1:15" x14ac:dyDescent="0.2">
      <c r="A184" s="436"/>
      <c r="B184" s="437"/>
      <c r="C184" s="421" t="s">
        <v>1028</v>
      </c>
      <c r="D184" s="421" t="s">
        <v>1028</v>
      </c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</row>
    <row r="185" spans="1:15" ht="18" x14ac:dyDescent="0.25">
      <c r="A185" s="461">
        <v>411</v>
      </c>
      <c r="B185" s="462"/>
      <c r="C185" s="463" t="s">
        <v>998</v>
      </c>
      <c r="D185" s="463" t="s">
        <v>999</v>
      </c>
      <c r="E185" s="474">
        <f t="shared" ref="E185:O185" si="40">E186+E187+E188+E189+E190+E191+E192+E193+E194</f>
        <v>700365978.13386762</v>
      </c>
      <c r="F185" s="474">
        <f t="shared" si="40"/>
        <v>1029924970.7895175</v>
      </c>
      <c r="G185" s="474">
        <f t="shared" si="40"/>
        <v>1366063299.11534</v>
      </c>
      <c r="H185" s="474">
        <f t="shared" si="40"/>
        <v>1634887856.7851779</v>
      </c>
      <c r="I185" s="474">
        <f t="shared" si="40"/>
        <v>1853546340.3438492</v>
      </c>
      <c r="J185" s="474">
        <f t="shared" si="40"/>
        <v>2166201748.4560175</v>
      </c>
      <c r="K185" s="474">
        <f t="shared" si="40"/>
        <v>2394510390.5858788</v>
      </c>
      <c r="L185" s="474">
        <f t="shared" si="40"/>
        <v>2704353229.8447666</v>
      </c>
      <c r="M185" s="474">
        <f t="shared" si="40"/>
        <v>240041149.01652479</v>
      </c>
      <c r="N185" s="474">
        <f t="shared" si="40"/>
        <v>242720986.47129032</v>
      </c>
      <c r="O185" s="474">
        <f t="shared" si="40"/>
        <v>246484031.53304958</v>
      </c>
    </row>
    <row r="186" spans="1:15" ht="15.75" x14ac:dyDescent="0.25">
      <c r="A186" s="419">
        <v>4110</v>
      </c>
      <c r="B186" s="420"/>
      <c r="C186" s="418" t="s">
        <v>1000</v>
      </c>
      <c r="D186" s="418" t="s">
        <v>372</v>
      </c>
      <c r="E186" s="466">
        <v>54095793.690535806</v>
      </c>
      <c r="F186" s="466">
        <v>60201064.096144222</v>
      </c>
      <c r="G186" s="466">
        <v>72720000.834585205</v>
      </c>
      <c r="H186" s="466">
        <v>56324436.654982477</v>
      </c>
      <c r="I186" s="466">
        <v>52814993.32331831</v>
      </c>
      <c r="J186" s="466">
        <v>78703834.91904524</v>
      </c>
      <c r="K186" s="466">
        <v>82935023.368385911</v>
      </c>
      <c r="L186" s="466">
        <v>85018552.829243869</v>
      </c>
      <c r="M186" s="466">
        <v>7091280.5429394105</v>
      </c>
      <c r="N186" s="466">
        <v>7621794.8208562834</v>
      </c>
      <c r="O186" s="466">
        <v>7753857.9648222346</v>
      </c>
    </row>
    <row r="187" spans="1:15" ht="15.75" x14ac:dyDescent="0.25">
      <c r="A187" s="419">
        <v>4111</v>
      </c>
      <c r="B187" s="420"/>
      <c r="C187" s="418" t="s">
        <v>1002</v>
      </c>
      <c r="D187" s="418" t="s">
        <v>373</v>
      </c>
      <c r="E187" s="466">
        <v>53726760.974795528</v>
      </c>
      <c r="F187" s="466">
        <v>83235820.397262558</v>
      </c>
      <c r="G187" s="466">
        <v>112631480.55416459</v>
      </c>
      <c r="H187" s="466">
        <v>134875930.56251046</v>
      </c>
      <c r="I187" s="466">
        <v>171506155.06593224</v>
      </c>
      <c r="J187" s="466">
        <v>206506868.63628778</v>
      </c>
      <c r="K187" s="466">
        <v>221795881.32198298</v>
      </c>
      <c r="L187" s="466">
        <v>255859526.79018527</v>
      </c>
      <c r="M187" s="466">
        <v>22870014.809714571</v>
      </c>
      <c r="N187" s="466">
        <v>25357141.823151395</v>
      </c>
      <c r="O187" s="466">
        <v>26384138.239233851</v>
      </c>
    </row>
    <row r="188" spans="1:15" ht="15.75" x14ac:dyDescent="0.25">
      <c r="A188" s="419">
        <v>4112</v>
      </c>
      <c r="B188" s="420"/>
      <c r="C188" s="418" t="s">
        <v>1004</v>
      </c>
      <c r="D188" s="418" t="s">
        <v>374</v>
      </c>
      <c r="E188" s="466">
        <v>35023439.325655147</v>
      </c>
      <c r="F188" s="466">
        <v>57544316.474712066</v>
      </c>
      <c r="G188" s="466">
        <v>76696085.795359716</v>
      </c>
      <c r="H188" s="466">
        <v>99221306.960440665</v>
      </c>
      <c r="I188" s="466">
        <v>114940523.2849274</v>
      </c>
      <c r="J188" s="466">
        <v>132691541.47888499</v>
      </c>
      <c r="K188" s="466">
        <v>143108049.57436156</v>
      </c>
      <c r="L188" s="466">
        <v>144061700.88466033</v>
      </c>
      <c r="M188" s="466">
        <v>12960104.974586882</v>
      </c>
      <c r="N188" s="466">
        <v>13011090.626272742</v>
      </c>
      <c r="O188" s="466">
        <v>13441720.675012521</v>
      </c>
    </row>
    <row r="189" spans="1:15" ht="15.75" x14ac:dyDescent="0.25">
      <c r="A189" s="419">
        <v>4113</v>
      </c>
      <c r="B189" s="420"/>
      <c r="C189" s="418" t="s">
        <v>184</v>
      </c>
      <c r="D189" s="418" t="s">
        <v>375</v>
      </c>
      <c r="E189" s="466">
        <v>12671511.433817394</v>
      </c>
      <c r="F189" s="466">
        <v>20813023.702219997</v>
      </c>
      <c r="G189" s="466">
        <v>26704260.557502922</v>
      </c>
      <c r="H189" s="466">
        <v>29819758.804873977</v>
      </c>
      <c r="I189" s="466">
        <v>25391908.696377899</v>
      </c>
      <c r="J189" s="466">
        <v>43538753.964279756</v>
      </c>
      <c r="K189" s="466">
        <v>62346369.554331504</v>
      </c>
      <c r="L189" s="466">
        <v>62076602.403605416</v>
      </c>
      <c r="M189" s="466">
        <v>5038487.4187113997</v>
      </c>
      <c r="N189" s="466">
        <v>4717103.5804122845</v>
      </c>
      <c r="O189" s="466">
        <v>5200168.5216574864</v>
      </c>
    </row>
    <row r="190" spans="1:15" ht="15.75" x14ac:dyDescent="0.25">
      <c r="A190" s="419">
        <v>4114</v>
      </c>
      <c r="B190" s="420"/>
      <c r="C190" s="418" t="s">
        <v>1008</v>
      </c>
      <c r="D190" s="418" t="s">
        <v>1009</v>
      </c>
      <c r="E190" s="466">
        <v>484716186.78017032</v>
      </c>
      <c r="F190" s="466">
        <v>706018327.49123681</v>
      </c>
      <c r="G190" s="466">
        <v>938604398.26406288</v>
      </c>
      <c r="H190" s="466">
        <v>1142930520.7811718</v>
      </c>
      <c r="I190" s="466">
        <v>1293918198.1305292</v>
      </c>
      <c r="J190" s="466">
        <v>1471099724.5868802</v>
      </c>
      <c r="K190" s="466">
        <v>1635456317.8100486</v>
      </c>
      <c r="L190" s="466">
        <v>1840374419.9632783</v>
      </c>
      <c r="M190" s="466">
        <v>161908600.40060091</v>
      </c>
      <c r="N190" s="466">
        <v>161550688.53279921</v>
      </c>
      <c r="O190" s="466">
        <v>161655220.33049577</v>
      </c>
    </row>
    <row r="191" spans="1:15" ht="15.75" x14ac:dyDescent="0.25">
      <c r="A191" s="419">
        <v>4115</v>
      </c>
      <c r="B191" s="420"/>
      <c r="C191" s="418" t="s">
        <v>185</v>
      </c>
      <c r="D191" s="418" t="s">
        <v>376</v>
      </c>
      <c r="E191" s="466">
        <v>10708137.205808714</v>
      </c>
      <c r="F191" s="466">
        <v>16898643.79903188</v>
      </c>
      <c r="G191" s="466">
        <v>23512990.318811554</v>
      </c>
      <c r="H191" s="466">
        <v>32944399.933233187</v>
      </c>
      <c r="I191" s="466">
        <v>43139221.331997998</v>
      </c>
      <c r="J191" s="466">
        <v>51510511.600734442</v>
      </c>
      <c r="K191" s="466">
        <v>61967451.176765151</v>
      </c>
      <c r="L191" s="466">
        <v>76205583.3750626</v>
      </c>
      <c r="M191" s="466">
        <v>7773514.4383241534</v>
      </c>
      <c r="N191" s="466">
        <v>7340965.615089301</v>
      </c>
      <c r="O191" s="466">
        <v>6613211.4838925051</v>
      </c>
    </row>
    <row r="192" spans="1:15" ht="15.75" x14ac:dyDescent="0.25">
      <c r="A192" s="419">
        <v>4116</v>
      </c>
      <c r="B192" s="420"/>
      <c r="C192" s="418" t="s">
        <v>1012</v>
      </c>
      <c r="D192" s="418" t="s">
        <v>377</v>
      </c>
      <c r="E192" s="466">
        <v>19846703.388415959</v>
      </c>
      <c r="F192" s="466">
        <v>39983516.94207979</v>
      </c>
      <c r="G192" s="466">
        <v>53599144.550158575</v>
      </c>
      <c r="H192" s="466">
        <v>66368302.45368053</v>
      </c>
      <c r="I192" s="466">
        <v>71938791.520614266</v>
      </c>
      <c r="J192" s="466">
        <v>79672579.702887669</v>
      </c>
      <c r="K192" s="466">
        <v>85474261.392088145</v>
      </c>
      <c r="L192" s="466">
        <v>85763153.062927723</v>
      </c>
      <c r="M192" s="466">
        <v>7151815.2228342518</v>
      </c>
      <c r="N192" s="466">
        <v>6555593.461275246</v>
      </c>
      <c r="O192" s="466">
        <v>8649324.4992488734</v>
      </c>
    </row>
    <row r="193" spans="1:15" ht="15.75" x14ac:dyDescent="0.25">
      <c r="A193" s="419">
        <v>4117</v>
      </c>
      <c r="B193" s="420"/>
      <c r="C193" s="418" t="s">
        <v>1014</v>
      </c>
      <c r="D193" s="418" t="s">
        <v>1015</v>
      </c>
      <c r="E193" s="466">
        <v>17906551.49390753</v>
      </c>
      <c r="F193" s="466">
        <v>25007920.213653814</v>
      </c>
      <c r="G193" s="466">
        <v>34408867.46786847</v>
      </c>
      <c r="H193" s="466">
        <v>39847921.882824235</v>
      </c>
      <c r="I193" s="466">
        <v>45420038.390919723</v>
      </c>
      <c r="J193" s="466">
        <v>58695906.359539308</v>
      </c>
      <c r="K193" s="466">
        <v>58110595.059255555</v>
      </c>
      <c r="L193" s="466">
        <v>62750680.186947085</v>
      </c>
      <c r="M193" s="466">
        <v>5864420.5141044902</v>
      </c>
      <c r="N193" s="466">
        <v>6006484.8391337013</v>
      </c>
      <c r="O193" s="466">
        <v>5901405.4792188276</v>
      </c>
    </row>
    <row r="194" spans="1:15" ht="15.75" x14ac:dyDescent="0.25">
      <c r="A194" s="419">
        <v>4119</v>
      </c>
      <c r="B194" s="420"/>
      <c r="C194" s="418" t="s">
        <v>1016</v>
      </c>
      <c r="D194" s="418" t="s">
        <v>1017</v>
      </c>
      <c r="E194" s="466">
        <v>11670893.840761142</v>
      </c>
      <c r="F194" s="466">
        <v>20222337.673176434</v>
      </c>
      <c r="G194" s="466">
        <v>27186070.772825908</v>
      </c>
      <c r="H194" s="466">
        <v>32555278.751460526</v>
      </c>
      <c r="I194" s="466">
        <v>34476510.599232182</v>
      </c>
      <c r="J194" s="466">
        <v>43782027.207477883</v>
      </c>
      <c r="K194" s="466">
        <v>43316441.328659661</v>
      </c>
      <c r="L194" s="466">
        <v>92243010.348856628</v>
      </c>
      <c r="M194" s="466">
        <v>9382910.694708731</v>
      </c>
      <c r="N194" s="466">
        <v>10560123.172300117</v>
      </c>
      <c r="O194" s="466">
        <v>10884984.339467529</v>
      </c>
    </row>
    <row r="195" spans="1:15" x14ac:dyDescent="0.2">
      <c r="A195" s="436"/>
      <c r="B195" s="437"/>
      <c r="C195" s="447" t="s">
        <v>1028</v>
      </c>
      <c r="D195" s="447" t="s">
        <v>1028</v>
      </c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</row>
    <row r="196" spans="1:15" ht="18" x14ac:dyDescent="0.25">
      <c r="A196" s="461">
        <v>412</v>
      </c>
      <c r="B196" s="462"/>
      <c r="C196" s="463" t="s">
        <v>378</v>
      </c>
      <c r="D196" s="463" t="s">
        <v>379</v>
      </c>
      <c r="E196" s="474">
        <f t="shared" ref="E196:O196" si="41">E197</f>
        <v>4019913.2031380404</v>
      </c>
      <c r="F196" s="474">
        <f t="shared" si="41"/>
        <v>11301239.359038558</v>
      </c>
      <c r="G196" s="474">
        <f t="shared" si="41"/>
        <v>15541545.651811052</v>
      </c>
      <c r="H196" s="474">
        <f t="shared" si="41"/>
        <v>22953555.332999501</v>
      </c>
      <c r="I196" s="474">
        <f t="shared" si="41"/>
        <v>24954293.940911368</v>
      </c>
      <c r="J196" s="474">
        <f t="shared" si="41"/>
        <v>30745547.487898514</v>
      </c>
      <c r="K196" s="474">
        <f t="shared" si="41"/>
        <v>35425567.517943583</v>
      </c>
      <c r="L196" s="474">
        <f t="shared" si="41"/>
        <v>60914392.421966285</v>
      </c>
      <c r="M196" s="474">
        <f t="shared" si="41"/>
        <v>1932009.917960274</v>
      </c>
      <c r="N196" s="474">
        <f t="shared" si="41"/>
        <v>2777991.0708562844</v>
      </c>
      <c r="O196" s="474">
        <f t="shared" si="41"/>
        <v>4468198.3574528471</v>
      </c>
    </row>
    <row r="197" spans="1:15" ht="15.75" x14ac:dyDescent="0.25">
      <c r="A197" s="419">
        <v>4120</v>
      </c>
      <c r="B197" s="420"/>
      <c r="C197" s="418" t="s">
        <v>380</v>
      </c>
      <c r="D197" s="418" t="s">
        <v>186</v>
      </c>
      <c r="E197" s="466">
        <v>4019913.2031380404</v>
      </c>
      <c r="F197" s="466">
        <v>11301239.359038558</v>
      </c>
      <c r="G197" s="466">
        <v>15541545.651811052</v>
      </c>
      <c r="H197" s="466">
        <v>22953555.332999501</v>
      </c>
      <c r="I197" s="466">
        <v>24954293.940911368</v>
      </c>
      <c r="J197" s="466">
        <v>30745547.487898514</v>
      </c>
      <c r="K197" s="466">
        <v>35425567.517943583</v>
      </c>
      <c r="L197" s="466">
        <v>60914392.421966285</v>
      </c>
      <c r="M197" s="466">
        <v>1932009.917960274</v>
      </c>
      <c r="N197" s="466">
        <v>2777991.0708562844</v>
      </c>
      <c r="O197" s="466">
        <v>4468198.3574528471</v>
      </c>
    </row>
    <row r="198" spans="1:15" x14ac:dyDescent="0.2">
      <c r="A198" s="436"/>
      <c r="B198" s="437"/>
      <c r="C198" s="421" t="s">
        <v>1028</v>
      </c>
      <c r="D198" s="421" t="s">
        <v>1028</v>
      </c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</row>
    <row r="199" spans="1:15" ht="18" x14ac:dyDescent="0.25">
      <c r="A199" s="461">
        <v>413</v>
      </c>
      <c r="B199" s="462"/>
      <c r="C199" s="463" t="s">
        <v>381</v>
      </c>
      <c r="D199" s="463" t="s">
        <v>7</v>
      </c>
      <c r="E199" s="474">
        <f t="shared" ref="E199:L199" si="42">E200+E201+E202</f>
        <v>0</v>
      </c>
      <c r="F199" s="474">
        <f t="shared" si="42"/>
        <v>4589972.4586880319</v>
      </c>
      <c r="G199" s="474">
        <f t="shared" si="42"/>
        <v>3656659.9899849775</v>
      </c>
      <c r="H199" s="474">
        <f t="shared" si="42"/>
        <v>3377366.0490736105</v>
      </c>
      <c r="I199" s="474">
        <f t="shared" si="42"/>
        <v>3001848.6062426977</v>
      </c>
      <c r="J199" s="474">
        <f t="shared" si="42"/>
        <v>3233900.8512769155</v>
      </c>
      <c r="K199" s="474">
        <f t="shared" si="42"/>
        <v>19065802.870973125</v>
      </c>
      <c r="L199" s="474">
        <f t="shared" si="42"/>
        <v>27739905.691871144</v>
      </c>
      <c r="M199" s="474">
        <f t="shared" ref="M199:O199" si="43">M200+M201+M202+M203</f>
        <v>-145740.16858621372</v>
      </c>
      <c r="N199" s="474">
        <f t="shared" si="43"/>
        <v>117090.41061593208</v>
      </c>
      <c r="O199" s="474">
        <f t="shared" si="43"/>
        <v>1149668.7509180475</v>
      </c>
    </row>
    <row r="200" spans="1:15" ht="15.75" x14ac:dyDescent="0.25">
      <c r="A200" s="419">
        <v>4130</v>
      </c>
      <c r="B200" s="420"/>
      <c r="C200" s="418" t="s">
        <v>187</v>
      </c>
      <c r="D200" s="418" t="s">
        <v>188</v>
      </c>
      <c r="E200" s="466">
        <v>0</v>
      </c>
      <c r="F200" s="466">
        <v>0</v>
      </c>
      <c r="G200" s="466">
        <v>0</v>
      </c>
      <c r="H200" s="466">
        <v>0</v>
      </c>
      <c r="I200" s="466">
        <v>0</v>
      </c>
      <c r="J200" s="466">
        <v>0</v>
      </c>
      <c r="K200" s="466">
        <v>0</v>
      </c>
      <c r="L200" s="466">
        <v>8195151.0599232186</v>
      </c>
      <c r="M200" s="466">
        <v>-730643.12301785999</v>
      </c>
      <c r="N200" s="466">
        <v>-803200.20864630304</v>
      </c>
      <c r="O200" s="466">
        <v>-158142.81839425699</v>
      </c>
    </row>
    <row r="201" spans="1:15" ht="15.75" x14ac:dyDescent="0.25">
      <c r="A201" s="419">
        <v>4131</v>
      </c>
      <c r="B201" s="420"/>
      <c r="C201" s="418" t="s">
        <v>10</v>
      </c>
      <c r="D201" s="418" t="s">
        <v>14</v>
      </c>
      <c r="E201" s="466">
        <v>0</v>
      </c>
      <c r="F201" s="466">
        <v>0</v>
      </c>
      <c r="G201" s="466">
        <v>0</v>
      </c>
      <c r="H201" s="466">
        <v>0</v>
      </c>
      <c r="I201" s="466">
        <v>0</v>
      </c>
      <c r="J201" s="466">
        <v>0</v>
      </c>
      <c r="K201" s="466">
        <v>0</v>
      </c>
      <c r="L201" s="466">
        <v>0</v>
      </c>
      <c r="M201" s="466">
        <v>30286.805207810474</v>
      </c>
      <c r="N201" s="466">
        <v>-13117.826740101833</v>
      </c>
      <c r="O201" s="466">
        <v>-406771.17342680437</v>
      </c>
    </row>
    <row r="202" spans="1:15" ht="15.75" x14ac:dyDescent="0.25">
      <c r="A202" s="419">
        <v>4132</v>
      </c>
      <c r="B202" s="420"/>
      <c r="C202" s="418" t="s">
        <v>189</v>
      </c>
      <c r="D202" s="418" t="s">
        <v>190</v>
      </c>
      <c r="E202" s="466">
        <v>0</v>
      </c>
      <c r="F202" s="466">
        <v>4589972.4586880319</v>
      </c>
      <c r="G202" s="466">
        <v>3656659.9899849775</v>
      </c>
      <c r="H202" s="466">
        <v>3377366.0490736105</v>
      </c>
      <c r="I202" s="466">
        <v>3001848.6062426977</v>
      </c>
      <c r="J202" s="466">
        <v>3233900.8512769155</v>
      </c>
      <c r="K202" s="466">
        <v>19065802.870973125</v>
      </c>
      <c r="L202" s="466">
        <v>19544754.631947923</v>
      </c>
      <c r="M202" s="466">
        <v>554616.14922383579</v>
      </c>
      <c r="N202" s="466">
        <v>933408.44600233692</v>
      </c>
      <c r="O202" s="466">
        <v>1714582.7427391089</v>
      </c>
    </row>
    <row r="203" spans="1:15" ht="15.75" x14ac:dyDescent="0.25">
      <c r="A203" s="419">
        <v>4134</v>
      </c>
      <c r="B203" s="420"/>
      <c r="C203" s="418" t="s">
        <v>840</v>
      </c>
      <c r="D203" s="418" t="s">
        <v>191</v>
      </c>
      <c r="E203" s="466">
        <v>0</v>
      </c>
      <c r="F203" s="466">
        <v>0</v>
      </c>
      <c r="G203" s="466">
        <v>0</v>
      </c>
      <c r="H203" s="466">
        <v>0</v>
      </c>
      <c r="I203" s="466">
        <v>0</v>
      </c>
      <c r="J203" s="466">
        <v>0</v>
      </c>
      <c r="K203" s="466">
        <v>0</v>
      </c>
      <c r="L203" s="466">
        <v>0</v>
      </c>
      <c r="M203" s="466">
        <v>0</v>
      </c>
      <c r="N203" s="466">
        <v>0</v>
      </c>
      <c r="O203" s="466">
        <v>0</v>
      </c>
    </row>
    <row r="204" spans="1:15" ht="15.75" x14ac:dyDescent="0.25">
      <c r="A204" s="419">
        <v>4135</v>
      </c>
      <c r="B204" s="420"/>
      <c r="C204" s="418" t="s">
        <v>621</v>
      </c>
      <c r="D204" s="418" t="s">
        <v>382</v>
      </c>
      <c r="E204" s="466" t="s">
        <v>845</v>
      </c>
      <c r="F204" s="466" t="s">
        <v>845</v>
      </c>
      <c r="G204" s="466" t="s">
        <v>845</v>
      </c>
      <c r="H204" s="466" t="s">
        <v>845</v>
      </c>
      <c r="I204" s="466" t="s">
        <v>845</v>
      </c>
      <c r="J204" s="466" t="s">
        <v>845</v>
      </c>
      <c r="K204" s="466" t="s">
        <v>845</v>
      </c>
      <c r="L204" s="466" t="s">
        <v>845</v>
      </c>
      <c r="M204" s="466" t="s">
        <v>845</v>
      </c>
      <c r="N204" s="466" t="s">
        <v>845</v>
      </c>
      <c r="O204" s="466" t="s">
        <v>845</v>
      </c>
    </row>
    <row r="205" spans="1:15" ht="15.75" x14ac:dyDescent="0.25">
      <c r="A205" s="419">
        <v>4136</v>
      </c>
      <c r="B205" s="420"/>
      <c r="C205" s="418" t="s">
        <v>195</v>
      </c>
      <c r="D205" s="418" t="s">
        <v>622</v>
      </c>
      <c r="E205" s="466" t="s">
        <v>845</v>
      </c>
      <c r="F205" s="466" t="s">
        <v>845</v>
      </c>
      <c r="G205" s="466" t="s">
        <v>845</v>
      </c>
      <c r="H205" s="466" t="s">
        <v>845</v>
      </c>
      <c r="I205" s="466" t="s">
        <v>845</v>
      </c>
      <c r="J205" s="466" t="s">
        <v>845</v>
      </c>
      <c r="K205" s="466" t="s">
        <v>845</v>
      </c>
      <c r="L205" s="466" t="s">
        <v>845</v>
      </c>
      <c r="M205" s="466" t="s">
        <v>845</v>
      </c>
      <c r="N205" s="466" t="s">
        <v>845</v>
      </c>
      <c r="O205" s="466" t="s">
        <v>845</v>
      </c>
    </row>
    <row r="206" spans="1:15" x14ac:dyDescent="0.2">
      <c r="A206" s="436"/>
      <c r="B206" s="437"/>
      <c r="C206" s="421" t="s">
        <v>1028</v>
      </c>
      <c r="D206" s="421" t="s">
        <v>1028</v>
      </c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</row>
    <row r="207" spans="1:15" ht="18" x14ac:dyDescent="0.25">
      <c r="A207" s="461">
        <v>414</v>
      </c>
      <c r="B207" s="462"/>
      <c r="C207" s="463" t="s">
        <v>25</v>
      </c>
      <c r="D207" s="463" t="s">
        <v>26</v>
      </c>
      <c r="E207" s="474">
        <f t="shared" ref="E207:O207" si="44">SUM(E208:E211)</f>
        <v>4648848.272408613</v>
      </c>
      <c r="F207" s="474">
        <f t="shared" si="44"/>
        <v>5979577.6998831583</v>
      </c>
      <c r="G207" s="474">
        <f t="shared" si="44"/>
        <v>8800463.1947921887</v>
      </c>
      <c r="H207" s="474">
        <f t="shared" si="44"/>
        <v>11601915.373059591</v>
      </c>
      <c r="I207" s="474">
        <f t="shared" si="44"/>
        <v>15976281.088299114</v>
      </c>
      <c r="J207" s="474">
        <f t="shared" si="44"/>
        <v>16415381.405441497</v>
      </c>
      <c r="K207" s="474">
        <f t="shared" si="44"/>
        <v>21011312.802537143</v>
      </c>
      <c r="L207" s="474">
        <f t="shared" si="44"/>
        <v>21758525.287931897</v>
      </c>
      <c r="M207" s="474">
        <f t="shared" si="44"/>
        <v>524262.17075613426</v>
      </c>
      <c r="N207" s="474">
        <f t="shared" si="44"/>
        <v>667184.99132031389</v>
      </c>
      <c r="O207" s="474">
        <f t="shared" si="44"/>
        <v>1249373.5121849442</v>
      </c>
    </row>
    <row r="208" spans="1:15" ht="15.75" x14ac:dyDescent="0.25">
      <c r="A208" s="419">
        <v>4140</v>
      </c>
      <c r="B208" s="420"/>
      <c r="C208" s="418" t="s">
        <v>27</v>
      </c>
      <c r="D208" s="418" t="s">
        <v>383</v>
      </c>
      <c r="E208" s="466">
        <v>0</v>
      </c>
      <c r="F208" s="466">
        <v>0</v>
      </c>
      <c r="G208" s="466">
        <v>84330.662660657646</v>
      </c>
      <c r="H208" s="466">
        <v>131104.99081956269</v>
      </c>
      <c r="I208" s="466">
        <v>115644.29978300785</v>
      </c>
      <c r="J208" s="466">
        <v>0</v>
      </c>
      <c r="K208" s="466">
        <v>301635.78701385413</v>
      </c>
      <c r="L208" s="466">
        <v>550767.81839425804</v>
      </c>
      <c r="M208" s="466">
        <v>0</v>
      </c>
      <c r="N208" s="466">
        <v>0</v>
      </c>
      <c r="O208" s="466">
        <v>136382.25325488235</v>
      </c>
    </row>
    <row r="209" spans="1:15" ht="15.75" x14ac:dyDescent="0.25">
      <c r="A209" s="419">
        <v>4141</v>
      </c>
      <c r="B209" s="420"/>
      <c r="C209" s="418" t="s">
        <v>29</v>
      </c>
      <c r="D209" s="418" t="s">
        <v>384</v>
      </c>
      <c r="E209" s="466">
        <v>0</v>
      </c>
      <c r="F209" s="466">
        <v>0</v>
      </c>
      <c r="G209" s="466">
        <v>0</v>
      </c>
      <c r="H209" s="466">
        <v>0</v>
      </c>
      <c r="I209" s="466">
        <v>88591.220163578706</v>
      </c>
      <c r="J209" s="466">
        <v>95501.585711901193</v>
      </c>
      <c r="K209" s="466">
        <v>0</v>
      </c>
      <c r="L209" s="466">
        <v>0</v>
      </c>
      <c r="M209" s="466">
        <v>0</v>
      </c>
      <c r="N209" s="466">
        <v>0</v>
      </c>
      <c r="O209" s="466">
        <v>0</v>
      </c>
    </row>
    <row r="210" spans="1:15" ht="15.75" x14ac:dyDescent="0.25">
      <c r="A210" s="419">
        <v>4142</v>
      </c>
      <c r="B210" s="420"/>
      <c r="C210" s="418" t="s">
        <v>31</v>
      </c>
      <c r="D210" s="418" t="s">
        <v>385</v>
      </c>
      <c r="E210" s="466">
        <v>1227507.9285595058</v>
      </c>
      <c r="F210" s="466">
        <v>2786584.0427307631</v>
      </c>
      <c r="G210" s="466">
        <v>3818490.2353530298</v>
      </c>
      <c r="H210" s="466">
        <v>5683020.3638791526</v>
      </c>
      <c r="I210" s="466">
        <v>10727524.620263729</v>
      </c>
      <c r="J210" s="466">
        <v>11135741.111667501</v>
      </c>
      <c r="K210" s="466">
        <v>14773109.664496746</v>
      </c>
      <c r="L210" s="466">
        <v>13755913.036220998</v>
      </c>
      <c r="M210" s="466">
        <v>489758.24987481226</v>
      </c>
      <c r="N210" s="466">
        <v>225265.09076114174</v>
      </c>
      <c r="O210" s="466">
        <v>432005.87431146723</v>
      </c>
    </row>
    <row r="211" spans="1:15" ht="15.75" x14ac:dyDescent="0.25">
      <c r="A211" s="419">
        <v>4143</v>
      </c>
      <c r="B211" s="420"/>
      <c r="C211" s="418" t="s">
        <v>33</v>
      </c>
      <c r="D211" s="418" t="s">
        <v>34</v>
      </c>
      <c r="E211" s="466">
        <v>3421340.3438491072</v>
      </c>
      <c r="F211" s="466">
        <v>3192993.6571523952</v>
      </c>
      <c r="G211" s="466">
        <v>4897642.296778501</v>
      </c>
      <c r="H211" s="466">
        <v>5787790.0183608755</v>
      </c>
      <c r="I211" s="466">
        <v>5044520.9480887996</v>
      </c>
      <c r="J211" s="466">
        <v>5184138.7080620937</v>
      </c>
      <c r="K211" s="466">
        <v>5936567.3510265406</v>
      </c>
      <c r="L211" s="466">
        <v>7451844.4333166415</v>
      </c>
      <c r="M211" s="466">
        <v>34503.920881321981</v>
      </c>
      <c r="N211" s="466">
        <v>441919.90055917209</v>
      </c>
      <c r="O211" s="466">
        <v>680985.38461859466</v>
      </c>
    </row>
    <row r="212" spans="1:15" x14ac:dyDescent="0.2">
      <c r="A212" s="436"/>
      <c r="B212" s="437"/>
      <c r="C212" s="421" t="s">
        <v>1028</v>
      </c>
      <c r="D212" s="421" t="s">
        <v>1028</v>
      </c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</row>
    <row r="213" spans="1:15" ht="20.25" x14ac:dyDescent="0.3">
      <c r="A213" s="458">
        <v>42</v>
      </c>
      <c r="B213" s="459"/>
      <c r="C213" s="460" t="s">
        <v>771</v>
      </c>
      <c r="D213" s="460" t="s">
        <v>36</v>
      </c>
      <c r="E213" s="476">
        <f t="shared" ref="E213:O213" si="45">E215</f>
        <v>110046824.40327157</v>
      </c>
      <c r="F213" s="476">
        <f t="shared" si="45"/>
        <v>168665060.09013519</v>
      </c>
      <c r="G213" s="476">
        <f t="shared" si="45"/>
        <v>209866474.71206814</v>
      </c>
      <c r="H213" s="476">
        <f t="shared" si="45"/>
        <v>239426293.6070773</v>
      </c>
      <c r="I213" s="476">
        <f t="shared" si="45"/>
        <v>265576919.54598564</v>
      </c>
      <c r="J213" s="476">
        <f t="shared" si="45"/>
        <v>282242922.71740943</v>
      </c>
      <c r="K213" s="476">
        <f t="shared" si="45"/>
        <v>343040010.01502252</v>
      </c>
      <c r="L213" s="476">
        <f t="shared" si="45"/>
        <v>456834626.94041067</v>
      </c>
      <c r="M213" s="476">
        <f t="shared" si="45"/>
        <v>12295963.986104161</v>
      </c>
      <c r="N213" s="476">
        <f t="shared" si="45"/>
        <v>23055128.339968283</v>
      </c>
      <c r="O213" s="476">
        <f t="shared" si="45"/>
        <v>26146836.876815218</v>
      </c>
    </row>
    <row r="214" spans="1:15" ht="20.25" x14ac:dyDescent="0.3">
      <c r="A214" s="458"/>
      <c r="B214" s="459"/>
      <c r="C214" s="460"/>
      <c r="D214" s="460"/>
      <c r="E214" s="476"/>
      <c r="F214" s="476"/>
      <c r="G214" s="476"/>
      <c r="H214" s="476"/>
      <c r="I214" s="476"/>
      <c r="J214" s="476"/>
      <c r="K214" s="476"/>
      <c r="L214" s="476"/>
      <c r="M214" s="476"/>
      <c r="N214" s="476"/>
      <c r="O214" s="476"/>
    </row>
    <row r="215" spans="1:15" ht="18" x14ac:dyDescent="0.25">
      <c r="A215" s="461">
        <v>420</v>
      </c>
      <c r="B215" s="462"/>
      <c r="C215" s="463" t="s">
        <v>37</v>
      </c>
      <c r="D215" s="463" t="s">
        <v>38</v>
      </c>
      <c r="E215" s="474">
        <v>110046824.40327157</v>
      </c>
      <c r="F215" s="474">
        <v>168665060.09013519</v>
      </c>
      <c r="G215" s="474">
        <v>209866474.71206814</v>
      </c>
      <c r="H215" s="474">
        <v>239426293.6070773</v>
      </c>
      <c r="I215" s="474">
        <v>265576919.54598564</v>
      </c>
      <c r="J215" s="474">
        <v>282242922.71740943</v>
      </c>
      <c r="K215" s="474">
        <v>343040010.01502252</v>
      </c>
      <c r="L215" s="474">
        <f t="shared" ref="L215:O215" si="46">SUM(L216:L225)</f>
        <v>456834626.94041067</v>
      </c>
      <c r="M215" s="474">
        <f t="shared" si="46"/>
        <v>12295963.986104161</v>
      </c>
      <c r="N215" s="474">
        <f t="shared" si="46"/>
        <v>23055128.339968283</v>
      </c>
      <c r="O215" s="474">
        <f t="shared" si="46"/>
        <v>26146836.876815218</v>
      </c>
    </row>
    <row r="216" spans="1:15" ht="15.75" x14ac:dyDescent="0.25">
      <c r="A216" s="419">
        <v>4200</v>
      </c>
      <c r="B216" s="420"/>
      <c r="C216" s="418" t="s">
        <v>39</v>
      </c>
      <c r="D216" s="418" t="s">
        <v>386</v>
      </c>
      <c r="E216" s="466" t="s">
        <v>845</v>
      </c>
      <c r="F216" s="466" t="s">
        <v>845</v>
      </c>
      <c r="G216" s="466" t="s">
        <v>845</v>
      </c>
      <c r="H216" s="466" t="s">
        <v>845</v>
      </c>
      <c r="I216" s="466" t="s">
        <v>845</v>
      </c>
      <c r="J216" s="466" t="s">
        <v>845</v>
      </c>
      <c r="K216" s="466" t="s">
        <v>845</v>
      </c>
      <c r="L216" s="466">
        <v>16160561.675847104</v>
      </c>
      <c r="M216" s="466">
        <v>439354.86563178105</v>
      </c>
      <c r="N216" s="466">
        <v>682044.01130862976</v>
      </c>
      <c r="O216" s="466">
        <v>2008412.8606659991</v>
      </c>
    </row>
    <row r="217" spans="1:15" ht="15.75" x14ac:dyDescent="0.25">
      <c r="A217" s="419">
        <v>4201</v>
      </c>
      <c r="B217" s="420"/>
      <c r="C217" s="418" t="s">
        <v>41</v>
      </c>
      <c r="D217" s="418" t="s">
        <v>387</v>
      </c>
      <c r="E217" s="466" t="s">
        <v>845</v>
      </c>
      <c r="F217" s="466" t="s">
        <v>845</v>
      </c>
      <c r="G217" s="466" t="s">
        <v>845</v>
      </c>
      <c r="H217" s="466" t="s">
        <v>845</v>
      </c>
      <c r="I217" s="466" t="s">
        <v>845</v>
      </c>
      <c r="J217" s="466" t="s">
        <v>845</v>
      </c>
      <c r="K217" s="466" t="s">
        <v>845</v>
      </c>
      <c r="L217" s="466">
        <v>7931296.9454181278</v>
      </c>
      <c r="M217" s="466">
        <v>124979.13536972125</v>
      </c>
      <c r="N217" s="466">
        <v>138082.12318477719</v>
      </c>
      <c r="O217" s="466">
        <v>159687.19946586547</v>
      </c>
    </row>
    <row r="218" spans="1:15" ht="15.75" x14ac:dyDescent="0.25">
      <c r="A218" s="419">
        <v>4202</v>
      </c>
      <c r="B218" s="420"/>
      <c r="C218" s="418" t="s">
        <v>43</v>
      </c>
      <c r="D218" s="418" t="s">
        <v>388</v>
      </c>
      <c r="E218" s="466" t="s">
        <v>845</v>
      </c>
      <c r="F218" s="466" t="s">
        <v>845</v>
      </c>
      <c r="G218" s="466" t="s">
        <v>845</v>
      </c>
      <c r="H218" s="466" t="s">
        <v>845</v>
      </c>
      <c r="I218" s="466" t="s">
        <v>845</v>
      </c>
      <c r="J218" s="466" t="s">
        <v>845</v>
      </c>
      <c r="K218" s="466" t="s">
        <v>845</v>
      </c>
      <c r="L218" s="466">
        <v>65142225.838758141</v>
      </c>
      <c r="M218" s="466">
        <v>491996.52591387084</v>
      </c>
      <c r="N218" s="466">
        <v>2142836.7633533636</v>
      </c>
      <c r="O218" s="466">
        <v>4230357.4339843085</v>
      </c>
    </row>
    <row r="219" spans="1:15" ht="15.75" x14ac:dyDescent="0.25">
      <c r="A219" s="419">
        <v>4203</v>
      </c>
      <c r="B219" s="420"/>
      <c r="C219" s="418" t="s">
        <v>45</v>
      </c>
      <c r="D219" s="418" t="s">
        <v>389</v>
      </c>
      <c r="E219" s="466" t="s">
        <v>845</v>
      </c>
      <c r="F219" s="466" t="s">
        <v>845</v>
      </c>
      <c r="G219" s="466" t="s">
        <v>845</v>
      </c>
      <c r="H219" s="466" t="s">
        <v>845</v>
      </c>
      <c r="I219" s="466" t="s">
        <v>845</v>
      </c>
      <c r="J219" s="466" t="s">
        <v>845</v>
      </c>
      <c r="K219" s="466" t="s">
        <v>845</v>
      </c>
      <c r="L219" s="466">
        <v>1685778.6680020031</v>
      </c>
      <c r="M219" s="466">
        <v>581070.96060757805</v>
      </c>
      <c r="N219" s="466">
        <v>151734.00100150227</v>
      </c>
      <c r="O219" s="466">
        <v>984883.2920213656</v>
      </c>
    </row>
    <row r="220" spans="1:15" ht="15.75" x14ac:dyDescent="0.25">
      <c r="A220" s="419">
        <v>4204</v>
      </c>
      <c r="B220" s="420"/>
      <c r="C220" s="418" t="s">
        <v>47</v>
      </c>
      <c r="D220" s="418" t="s">
        <v>390</v>
      </c>
      <c r="E220" s="466" t="s">
        <v>845</v>
      </c>
      <c r="F220" s="466" t="s">
        <v>845</v>
      </c>
      <c r="G220" s="466" t="s">
        <v>845</v>
      </c>
      <c r="H220" s="466" t="s">
        <v>845</v>
      </c>
      <c r="I220" s="466" t="s">
        <v>845</v>
      </c>
      <c r="J220" s="466" t="s">
        <v>845</v>
      </c>
      <c r="K220" s="466" t="s">
        <v>845</v>
      </c>
      <c r="L220" s="466">
        <v>232473213.98764813</v>
      </c>
      <c r="M220" s="466">
        <v>6693889.9974962454</v>
      </c>
      <c r="N220" s="466">
        <v>14209594.571732597</v>
      </c>
      <c r="O220" s="466">
        <v>12535957.521115003</v>
      </c>
    </row>
    <row r="221" spans="1:15" ht="15.75" x14ac:dyDescent="0.25">
      <c r="A221" s="419">
        <v>4205</v>
      </c>
      <c r="B221" s="420"/>
      <c r="C221" s="418" t="s">
        <v>49</v>
      </c>
      <c r="D221" s="418" t="s">
        <v>1026</v>
      </c>
      <c r="E221" s="466" t="s">
        <v>845</v>
      </c>
      <c r="F221" s="466" t="s">
        <v>845</v>
      </c>
      <c r="G221" s="466" t="s">
        <v>845</v>
      </c>
      <c r="H221" s="466" t="s">
        <v>845</v>
      </c>
      <c r="I221" s="466" t="s">
        <v>845</v>
      </c>
      <c r="J221" s="466" t="s">
        <v>845</v>
      </c>
      <c r="K221" s="466" t="s">
        <v>845</v>
      </c>
      <c r="L221" s="466">
        <v>84818561.175095975</v>
      </c>
      <c r="M221" s="466">
        <v>2349520.0842931066</v>
      </c>
      <c r="N221" s="466">
        <v>3879608.6840260387</v>
      </c>
      <c r="O221" s="466">
        <v>3290065.7396511436</v>
      </c>
    </row>
    <row r="222" spans="1:15" ht="15.75" x14ac:dyDescent="0.25">
      <c r="A222" s="419">
        <v>4206</v>
      </c>
      <c r="B222" s="420"/>
      <c r="C222" s="418" t="s">
        <v>51</v>
      </c>
      <c r="D222" s="418" t="s">
        <v>391</v>
      </c>
      <c r="E222" s="466" t="s">
        <v>845</v>
      </c>
      <c r="F222" s="466" t="s">
        <v>845</v>
      </c>
      <c r="G222" s="466" t="s">
        <v>845</v>
      </c>
      <c r="H222" s="466" t="s">
        <v>845</v>
      </c>
      <c r="I222" s="466" t="s">
        <v>845</v>
      </c>
      <c r="J222" s="466" t="s">
        <v>845</v>
      </c>
      <c r="K222" s="466" t="s">
        <v>845</v>
      </c>
      <c r="L222" s="466">
        <v>15024570.188616259</v>
      </c>
      <c r="M222" s="466">
        <v>380850.37205808709</v>
      </c>
      <c r="N222" s="466">
        <v>640579.93590385583</v>
      </c>
      <c r="O222" s="466">
        <v>1245305.6652478718</v>
      </c>
    </row>
    <row r="223" spans="1:15" ht="15.75" x14ac:dyDescent="0.25">
      <c r="A223" s="419">
        <v>4207</v>
      </c>
      <c r="B223" s="420"/>
      <c r="C223" s="418" t="s">
        <v>53</v>
      </c>
      <c r="D223" s="418" t="s">
        <v>392</v>
      </c>
      <c r="E223" s="466" t="s">
        <v>845</v>
      </c>
      <c r="F223" s="466" t="s">
        <v>845</v>
      </c>
      <c r="G223" s="466" t="s">
        <v>845</v>
      </c>
      <c r="H223" s="466" t="s">
        <v>845</v>
      </c>
      <c r="I223" s="466" t="s">
        <v>845</v>
      </c>
      <c r="J223" s="466" t="s">
        <v>845</v>
      </c>
      <c r="K223" s="466" t="s">
        <v>845</v>
      </c>
      <c r="L223" s="466">
        <v>522062.26005675184</v>
      </c>
      <c r="M223" s="466">
        <v>7757.4695376397931</v>
      </c>
      <c r="N223" s="466">
        <v>13450.718369220498</v>
      </c>
      <c r="O223" s="466">
        <v>20932.388332498751</v>
      </c>
    </row>
    <row r="224" spans="1:15" ht="15.75" x14ac:dyDescent="0.25">
      <c r="A224" s="419">
        <v>4208</v>
      </c>
      <c r="B224" s="420"/>
      <c r="C224" s="418" t="s">
        <v>623</v>
      </c>
      <c r="D224" s="418" t="s">
        <v>393</v>
      </c>
      <c r="E224" s="466" t="s">
        <v>845</v>
      </c>
      <c r="F224" s="466" t="s">
        <v>845</v>
      </c>
      <c r="G224" s="466" t="s">
        <v>845</v>
      </c>
      <c r="H224" s="466" t="s">
        <v>845</v>
      </c>
      <c r="I224" s="466" t="s">
        <v>845</v>
      </c>
      <c r="J224" s="466" t="s">
        <v>845</v>
      </c>
      <c r="K224" s="466" t="s">
        <v>845</v>
      </c>
      <c r="L224" s="466">
        <v>32763440.994825576</v>
      </c>
      <c r="M224" s="466">
        <v>1226544.5751961276</v>
      </c>
      <c r="N224" s="466">
        <v>1197197.5310882991</v>
      </c>
      <c r="O224" s="466">
        <v>1671234.7763311635</v>
      </c>
    </row>
    <row r="225" spans="1:15" ht="15.75" x14ac:dyDescent="0.25">
      <c r="A225" s="419">
        <v>4209</v>
      </c>
      <c r="B225" s="420"/>
      <c r="C225" s="418" t="s">
        <v>57</v>
      </c>
      <c r="D225" s="418" t="s">
        <v>394</v>
      </c>
      <c r="E225" s="466" t="s">
        <v>845</v>
      </c>
      <c r="F225" s="466" t="s">
        <v>845</v>
      </c>
      <c r="G225" s="466" t="s">
        <v>845</v>
      </c>
      <c r="H225" s="466" t="s">
        <v>845</v>
      </c>
      <c r="I225" s="466" t="s">
        <v>845</v>
      </c>
      <c r="J225" s="466" t="s">
        <v>845</v>
      </c>
      <c r="K225" s="466" t="s">
        <v>845</v>
      </c>
      <c r="L225" s="466">
        <v>312915.20614254719</v>
      </c>
      <c r="M225" s="466">
        <v>0</v>
      </c>
      <c r="N225" s="466">
        <v>0</v>
      </c>
      <c r="O225" s="466">
        <v>0</v>
      </c>
    </row>
    <row r="226" spans="1:15" x14ac:dyDescent="0.2">
      <c r="A226" s="436"/>
      <c r="B226" s="437"/>
      <c r="C226" s="421" t="s">
        <v>1028</v>
      </c>
      <c r="D226" s="421" t="s">
        <v>1028</v>
      </c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</row>
    <row r="227" spans="1:15" ht="20.25" x14ac:dyDescent="0.3">
      <c r="A227" s="458">
        <v>43</v>
      </c>
      <c r="B227" s="459"/>
      <c r="C227" s="460" t="s">
        <v>59</v>
      </c>
      <c r="D227" s="460" t="s">
        <v>60</v>
      </c>
      <c r="E227" s="476">
        <f t="shared" ref="E227:O227" si="47">E229+E238</f>
        <v>34745509.931564018</v>
      </c>
      <c r="F227" s="476">
        <f t="shared" si="47"/>
        <v>39754135.369721249</v>
      </c>
      <c r="G227" s="476">
        <f t="shared" si="47"/>
        <v>124934685.36137539</v>
      </c>
      <c r="H227" s="476">
        <f t="shared" si="47"/>
        <v>149922967.78501087</v>
      </c>
      <c r="I227" s="476">
        <f t="shared" si="47"/>
        <v>182507369.38741446</v>
      </c>
      <c r="J227" s="476">
        <f t="shared" si="47"/>
        <v>223437276.748456</v>
      </c>
      <c r="K227" s="476">
        <f t="shared" si="47"/>
        <v>242687209.98163915</v>
      </c>
      <c r="L227" s="476">
        <f t="shared" si="47"/>
        <v>243254761.30862963</v>
      </c>
      <c r="M227" s="476">
        <f t="shared" si="47"/>
        <v>-825361.25542480382</v>
      </c>
      <c r="N227" s="476">
        <f t="shared" si="47"/>
        <v>21365852.365882158</v>
      </c>
      <c r="O227" s="476">
        <f t="shared" si="47"/>
        <v>17548708.908821568</v>
      </c>
    </row>
    <row r="228" spans="1:15" x14ac:dyDescent="0.2">
      <c r="A228" s="436"/>
      <c r="B228" s="437"/>
      <c r="C228" s="421" t="s">
        <v>1028</v>
      </c>
      <c r="D228" s="421" t="s">
        <v>1028</v>
      </c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</row>
    <row r="229" spans="1:15" ht="18" x14ac:dyDescent="0.25">
      <c r="A229" s="461">
        <v>431</v>
      </c>
      <c r="B229" s="462"/>
      <c r="C229" s="463" t="s">
        <v>395</v>
      </c>
      <c r="D229" s="463" t="s">
        <v>396</v>
      </c>
      <c r="E229" s="474">
        <f t="shared" ref="E229:O229" si="48">SUM(E230:E236)</f>
        <v>13301952.929394092</v>
      </c>
      <c r="F229" s="474">
        <f t="shared" si="48"/>
        <v>12992618.093807377</v>
      </c>
      <c r="G229" s="474">
        <f t="shared" si="48"/>
        <v>82792134.034384906</v>
      </c>
      <c r="H229" s="474">
        <f t="shared" si="48"/>
        <v>86089133.700550839</v>
      </c>
      <c r="I229" s="474">
        <f t="shared" si="48"/>
        <v>94358149.724586874</v>
      </c>
      <c r="J229" s="474">
        <f t="shared" si="48"/>
        <v>105655541.64580202</v>
      </c>
      <c r="K229" s="474">
        <f t="shared" si="48"/>
        <v>127051477.21582374</v>
      </c>
      <c r="L229" s="474">
        <f t="shared" si="48"/>
        <v>173566591.55399767</v>
      </c>
      <c r="M229" s="474">
        <f t="shared" si="48"/>
        <v>1138004.6267317645</v>
      </c>
      <c r="N229" s="474">
        <f t="shared" si="48"/>
        <v>19817098.919629447</v>
      </c>
      <c r="O229" s="474">
        <f t="shared" si="48"/>
        <v>13182345.12981973</v>
      </c>
    </row>
    <row r="230" spans="1:15" ht="15.75" x14ac:dyDescent="0.25">
      <c r="A230" s="419">
        <v>4310</v>
      </c>
      <c r="B230" s="420"/>
      <c r="C230" s="418" t="s">
        <v>397</v>
      </c>
      <c r="D230" s="418" t="s">
        <v>868</v>
      </c>
      <c r="E230" s="466">
        <v>0</v>
      </c>
      <c r="F230" s="466">
        <v>600020.86463027878</v>
      </c>
      <c r="G230" s="466">
        <v>1322346.019028543</v>
      </c>
      <c r="H230" s="466">
        <v>2216286.9303955934</v>
      </c>
      <c r="I230" s="466">
        <v>2175321.3153062928</v>
      </c>
      <c r="J230" s="466">
        <v>2983254.0477382741</v>
      </c>
      <c r="K230" s="466">
        <v>3216391.2535469872</v>
      </c>
      <c r="L230" s="466">
        <v>8916725.0876314491</v>
      </c>
      <c r="M230" s="466">
        <v>99177.933567017186</v>
      </c>
      <c r="N230" s="466">
        <v>134364.04606910367</v>
      </c>
      <c r="O230" s="466">
        <v>243988.50776164248</v>
      </c>
    </row>
    <row r="231" spans="1:15" ht="15.75" x14ac:dyDescent="0.25">
      <c r="A231" s="419">
        <v>4311</v>
      </c>
      <c r="B231" s="420"/>
      <c r="C231" s="418" t="s">
        <v>200</v>
      </c>
      <c r="D231" s="418" t="s">
        <v>398</v>
      </c>
      <c r="E231" s="466">
        <v>7959856.4513436826</v>
      </c>
      <c r="F231" s="466">
        <v>4166933.7339342348</v>
      </c>
      <c r="G231" s="466">
        <v>69988795.69354032</v>
      </c>
      <c r="H231" s="466">
        <v>77040590.051744297</v>
      </c>
      <c r="I231" s="466">
        <v>85277290.936404601</v>
      </c>
      <c r="J231" s="466">
        <v>92628442.663995996</v>
      </c>
      <c r="K231" s="466">
        <v>116619762.97780004</v>
      </c>
      <c r="L231" s="466">
        <v>147969153.73059589</v>
      </c>
      <c r="M231" s="466">
        <v>904423.30161909538</v>
      </c>
      <c r="N231" s="466">
        <v>19527079.144132867</v>
      </c>
      <c r="O231" s="466">
        <v>11769966.424219662</v>
      </c>
    </row>
    <row r="232" spans="1:15" ht="15.75" x14ac:dyDescent="0.25">
      <c r="A232" s="419">
        <v>4312</v>
      </c>
      <c r="B232" s="420"/>
      <c r="C232" s="418" t="s">
        <v>201</v>
      </c>
      <c r="D232" s="418" t="s">
        <v>72</v>
      </c>
      <c r="E232" s="466">
        <v>2062593.8908362545</v>
      </c>
      <c r="F232" s="466">
        <v>5999044.3999332339</v>
      </c>
      <c r="G232" s="466">
        <v>6528772.3251543986</v>
      </c>
      <c r="H232" s="466">
        <v>13766.483057920215</v>
      </c>
      <c r="I232" s="466">
        <v>10353.029544316476</v>
      </c>
      <c r="J232" s="466">
        <v>3062426.9737940244</v>
      </c>
      <c r="K232" s="466">
        <v>10257.052245034218</v>
      </c>
      <c r="L232" s="466">
        <v>0</v>
      </c>
      <c r="M232" s="466">
        <v>3851.6107494575199</v>
      </c>
      <c r="N232" s="466">
        <v>-3851.6107494575199</v>
      </c>
      <c r="O232" s="466">
        <v>0</v>
      </c>
    </row>
    <row r="233" spans="1:15" ht="15.75" x14ac:dyDescent="0.25">
      <c r="A233" s="419">
        <v>4313</v>
      </c>
      <c r="B233" s="420"/>
      <c r="C233" s="418" t="s">
        <v>202</v>
      </c>
      <c r="D233" s="418" t="s">
        <v>74</v>
      </c>
      <c r="E233" s="466">
        <v>3279502.5872141547</v>
      </c>
      <c r="F233" s="466">
        <v>2213641.2952762479</v>
      </c>
      <c r="G233" s="466">
        <v>4894366.549824737</v>
      </c>
      <c r="H233" s="466">
        <v>4873622.9344016025</v>
      </c>
      <c r="I233" s="466">
        <v>5300033.3834084468</v>
      </c>
      <c r="J233" s="466">
        <v>6900275.4131196802</v>
      </c>
      <c r="K233" s="466">
        <v>7147387.7482890999</v>
      </c>
      <c r="L233" s="466">
        <v>15442538.808212319</v>
      </c>
      <c r="M233" s="466">
        <v>122986.26585711901</v>
      </c>
      <c r="N233" s="466">
        <v>79629.18961775997</v>
      </c>
      <c r="O233" s="466">
        <v>1127541.4246786844</v>
      </c>
    </row>
    <row r="234" spans="1:15" ht="15.75" x14ac:dyDescent="0.25">
      <c r="A234" s="419">
        <v>4314</v>
      </c>
      <c r="B234" s="420"/>
      <c r="C234" s="418" t="s">
        <v>203</v>
      </c>
      <c r="D234" s="418" t="s">
        <v>76</v>
      </c>
      <c r="E234" s="466">
        <v>0</v>
      </c>
      <c r="F234" s="466">
        <v>12977.80003338341</v>
      </c>
      <c r="G234" s="466">
        <v>57853.446836922056</v>
      </c>
      <c r="H234" s="466">
        <v>74144.55015857119</v>
      </c>
      <c r="I234" s="466">
        <v>108237.35603405109</v>
      </c>
      <c r="J234" s="466">
        <v>79727.925221165075</v>
      </c>
      <c r="K234" s="466">
        <v>57678.183942580537</v>
      </c>
      <c r="L234" s="466">
        <v>1234501.7526289434</v>
      </c>
      <c r="M234" s="466">
        <v>7565.5149390752804</v>
      </c>
      <c r="N234" s="466">
        <v>79878.150559172092</v>
      </c>
      <c r="O234" s="466">
        <v>40848.773159739612</v>
      </c>
    </row>
    <row r="235" spans="1:15" ht="15.75" x14ac:dyDescent="0.25">
      <c r="A235" s="419">
        <v>4315</v>
      </c>
      <c r="B235" s="420"/>
      <c r="C235" s="475" t="s">
        <v>204</v>
      </c>
      <c r="D235" s="475" t="s">
        <v>399</v>
      </c>
      <c r="E235" s="466">
        <v>0</v>
      </c>
      <c r="F235" s="466">
        <v>0</v>
      </c>
      <c r="G235" s="466">
        <v>0</v>
      </c>
      <c r="H235" s="466">
        <v>0</v>
      </c>
      <c r="I235" s="466">
        <v>0</v>
      </c>
      <c r="J235" s="466">
        <v>0</v>
      </c>
      <c r="K235" s="466">
        <v>0</v>
      </c>
      <c r="L235" s="466">
        <v>0</v>
      </c>
      <c r="M235" s="466">
        <v>0</v>
      </c>
      <c r="N235" s="466">
        <v>0</v>
      </c>
      <c r="O235" s="466">
        <v>0</v>
      </c>
    </row>
    <row r="236" spans="1:15" ht="15.75" x14ac:dyDescent="0.25">
      <c r="A236" s="419">
        <v>4316</v>
      </c>
      <c r="B236" s="420"/>
      <c r="C236" s="418" t="s">
        <v>79</v>
      </c>
      <c r="D236" s="418" t="s">
        <v>82</v>
      </c>
      <c r="E236" s="466">
        <v>0</v>
      </c>
      <c r="F236" s="466">
        <v>0</v>
      </c>
      <c r="G236" s="466">
        <v>0</v>
      </c>
      <c r="H236" s="466">
        <v>1870722.7507928561</v>
      </c>
      <c r="I236" s="466">
        <v>1486913.7038891672</v>
      </c>
      <c r="J236" s="466">
        <v>1414.6219328993491</v>
      </c>
      <c r="K236" s="466">
        <v>0</v>
      </c>
      <c r="L236" s="466">
        <v>3672.174929060257</v>
      </c>
      <c r="M236" s="466">
        <v>0</v>
      </c>
      <c r="N236" s="466">
        <v>0</v>
      </c>
      <c r="O236" s="466">
        <v>0</v>
      </c>
    </row>
    <row r="237" spans="1:15" x14ac:dyDescent="0.2">
      <c r="A237" s="436"/>
      <c r="B237" s="437"/>
      <c r="C237" s="421" t="s">
        <v>1028</v>
      </c>
      <c r="D237" s="421" t="s">
        <v>1028</v>
      </c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</row>
    <row r="238" spans="1:15" ht="18" x14ac:dyDescent="0.25">
      <c r="A238" s="461">
        <v>432</v>
      </c>
      <c r="B238" s="462"/>
      <c r="C238" s="463" t="s">
        <v>400</v>
      </c>
      <c r="D238" s="463" t="s">
        <v>401</v>
      </c>
      <c r="E238" s="474">
        <f t="shared" ref="E238:O238" si="49">SUM(E239:E242)</f>
        <v>21443557.002169926</v>
      </c>
      <c r="F238" s="474">
        <f t="shared" si="49"/>
        <v>26761517.275913872</v>
      </c>
      <c r="G238" s="474">
        <f t="shared" si="49"/>
        <v>42142551.326990485</v>
      </c>
      <c r="H238" s="474">
        <f t="shared" si="49"/>
        <v>63833834.084460028</v>
      </c>
      <c r="I238" s="474">
        <f t="shared" si="49"/>
        <v>88149219.662827581</v>
      </c>
      <c r="J238" s="474">
        <f t="shared" si="49"/>
        <v>117781735.10265398</v>
      </c>
      <c r="K238" s="474">
        <f t="shared" si="49"/>
        <v>115635732.76581539</v>
      </c>
      <c r="L238" s="474">
        <f t="shared" si="49"/>
        <v>69688169.754631951</v>
      </c>
      <c r="M238" s="474">
        <f t="shared" si="49"/>
        <v>-1963365.8821565683</v>
      </c>
      <c r="N238" s="474">
        <f t="shared" si="49"/>
        <v>1548753.4462527125</v>
      </c>
      <c r="O238" s="474">
        <f t="shared" si="49"/>
        <v>4366363.7790018357</v>
      </c>
    </row>
    <row r="239" spans="1:15" ht="15.75" x14ac:dyDescent="0.25">
      <c r="A239" s="419">
        <v>4320</v>
      </c>
      <c r="B239" s="420"/>
      <c r="C239" s="418" t="s">
        <v>196</v>
      </c>
      <c r="D239" s="418" t="s">
        <v>64</v>
      </c>
      <c r="E239" s="466">
        <v>0</v>
      </c>
      <c r="F239" s="466">
        <v>0</v>
      </c>
      <c r="G239" s="466">
        <v>0</v>
      </c>
      <c r="H239" s="466">
        <v>0</v>
      </c>
      <c r="I239" s="466">
        <v>0</v>
      </c>
      <c r="J239" s="466">
        <v>0</v>
      </c>
      <c r="K239" s="466">
        <v>0</v>
      </c>
      <c r="L239" s="466">
        <v>0</v>
      </c>
      <c r="M239" s="466">
        <v>-4205549.9916541483</v>
      </c>
      <c r="N239" s="466">
        <v>-376300.16783508594</v>
      </c>
      <c r="O239" s="466">
        <v>592766.1093723916</v>
      </c>
    </row>
    <row r="240" spans="1:15" ht="15.75" x14ac:dyDescent="0.25">
      <c r="A240" s="419">
        <v>4321</v>
      </c>
      <c r="B240" s="420"/>
      <c r="C240" s="418" t="s">
        <v>197</v>
      </c>
      <c r="D240" s="418" t="s">
        <v>402</v>
      </c>
      <c r="E240" s="466">
        <v>0</v>
      </c>
      <c r="F240" s="466">
        <v>24290.602570522453</v>
      </c>
      <c r="G240" s="466">
        <v>1655015.8571190119</v>
      </c>
      <c r="H240" s="466">
        <v>9551377.0655983984</v>
      </c>
      <c r="I240" s="466">
        <v>6772396.0941412123</v>
      </c>
      <c r="J240" s="466">
        <v>19711271.073276579</v>
      </c>
      <c r="K240" s="466">
        <v>7175025.0375563344</v>
      </c>
      <c r="L240" s="466">
        <v>13908792.355199466</v>
      </c>
      <c r="M240" s="466">
        <v>438082.12318477716</v>
      </c>
      <c r="N240" s="466">
        <v>268177.2658988483</v>
      </c>
      <c r="O240" s="466">
        <v>386692.53880821238</v>
      </c>
    </row>
    <row r="241" spans="1:15" ht="15.75" x14ac:dyDescent="0.25">
      <c r="A241" s="419">
        <v>4322</v>
      </c>
      <c r="B241" s="420"/>
      <c r="C241" s="418" t="s">
        <v>198</v>
      </c>
      <c r="D241" s="418" t="s">
        <v>403</v>
      </c>
      <c r="E241" s="466"/>
      <c r="F241" s="466"/>
      <c r="G241" s="466"/>
      <c r="H241" s="466"/>
      <c r="I241" s="466"/>
      <c r="J241" s="466"/>
      <c r="K241" s="466"/>
      <c r="L241" s="466"/>
      <c r="M241" s="466"/>
      <c r="N241" s="466"/>
      <c r="O241" s="466"/>
    </row>
    <row r="242" spans="1:15" ht="15.75" x14ac:dyDescent="0.25">
      <c r="A242" s="419">
        <v>4323</v>
      </c>
      <c r="B242" s="420"/>
      <c r="C242" s="418" t="s">
        <v>199</v>
      </c>
      <c r="D242" s="418" t="s">
        <v>869</v>
      </c>
      <c r="E242" s="466">
        <v>21443557.002169926</v>
      </c>
      <c r="F242" s="466">
        <v>26737226.673343349</v>
      </c>
      <c r="G242" s="466">
        <v>40487535.469871476</v>
      </c>
      <c r="H242" s="466">
        <v>54282457.018861629</v>
      </c>
      <c r="I242" s="466">
        <v>81376823.568686366</v>
      </c>
      <c r="J242" s="466">
        <v>98070464.029377401</v>
      </c>
      <c r="K242" s="466">
        <v>108460707.72825906</v>
      </c>
      <c r="L242" s="466">
        <v>55779377.399432488</v>
      </c>
      <c r="M242" s="466">
        <v>1804101.9863128026</v>
      </c>
      <c r="N242" s="466">
        <v>1656876.3481889502</v>
      </c>
      <c r="O242" s="466">
        <v>3386905.1308212318</v>
      </c>
    </row>
    <row r="243" spans="1:15" x14ac:dyDescent="0.2">
      <c r="A243" s="436"/>
      <c r="B243" s="437"/>
      <c r="C243" s="421"/>
      <c r="D243" s="421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</row>
    <row r="244" spans="1:15" ht="20.25" x14ac:dyDescent="0.3">
      <c r="A244" s="458">
        <v>45</v>
      </c>
      <c r="B244" s="459"/>
      <c r="C244" s="460" t="s">
        <v>914</v>
      </c>
      <c r="D244" s="460" t="s">
        <v>151</v>
      </c>
      <c r="E244" s="476" t="s">
        <v>845</v>
      </c>
      <c r="F244" s="476" t="s">
        <v>845</v>
      </c>
      <c r="G244" s="476" t="s">
        <v>845</v>
      </c>
      <c r="H244" s="476" t="s">
        <v>845</v>
      </c>
      <c r="I244" s="476" t="s">
        <v>845</v>
      </c>
      <c r="J244" s="476" t="s">
        <v>845</v>
      </c>
      <c r="K244" s="476" t="s">
        <v>845</v>
      </c>
      <c r="L244" s="476" t="s">
        <v>845</v>
      </c>
      <c r="M244" s="476" t="s">
        <v>845</v>
      </c>
      <c r="N244" s="476" t="s">
        <v>845</v>
      </c>
      <c r="O244" s="476" t="s">
        <v>845</v>
      </c>
    </row>
    <row r="245" spans="1:15" x14ac:dyDescent="0.2">
      <c r="A245" s="436"/>
      <c r="B245" s="437"/>
      <c r="C245" s="421" t="s">
        <v>1028</v>
      </c>
      <c r="D245" s="421" t="s">
        <v>1028</v>
      </c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</row>
    <row r="246" spans="1:15" ht="18" x14ac:dyDescent="0.25">
      <c r="A246" s="461">
        <v>450</v>
      </c>
      <c r="B246" s="462"/>
      <c r="C246" s="463" t="s">
        <v>914</v>
      </c>
      <c r="D246" s="463" t="s">
        <v>404</v>
      </c>
      <c r="E246" s="474" t="s">
        <v>845</v>
      </c>
      <c r="F246" s="474" t="s">
        <v>845</v>
      </c>
      <c r="G246" s="474" t="s">
        <v>845</v>
      </c>
      <c r="H246" s="474" t="s">
        <v>845</v>
      </c>
      <c r="I246" s="474" t="s">
        <v>845</v>
      </c>
      <c r="J246" s="474" t="s">
        <v>845</v>
      </c>
      <c r="K246" s="474" t="s">
        <v>845</v>
      </c>
      <c r="L246" s="474" t="s">
        <v>845</v>
      </c>
      <c r="M246" s="474" t="s">
        <v>845</v>
      </c>
      <c r="N246" s="474" t="s">
        <v>845</v>
      </c>
      <c r="O246" s="474" t="s">
        <v>845</v>
      </c>
    </row>
    <row r="247" spans="1:15" ht="15.75" x14ac:dyDescent="0.25">
      <c r="A247" s="419">
        <v>4500</v>
      </c>
      <c r="B247" s="420"/>
      <c r="C247" s="418" t="s">
        <v>631</v>
      </c>
      <c r="D247" s="418" t="s">
        <v>405</v>
      </c>
      <c r="E247" s="466" t="s">
        <v>845</v>
      </c>
      <c r="F247" s="466" t="s">
        <v>845</v>
      </c>
      <c r="G247" s="466" t="s">
        <v>845</v>
      </c>
      <c r="H247" s="466" t="s">
        <v>845</v>
      </c>
      <c r="I247" s="466" t="s">
        <v>845</v>
      </c>
      <c r="J247" s="466" t="s">
        <v>845</v>
      </c>
      <c r="K247" s="466" t="s">
        <v>845</v>
      </c>
      <c r="L247" s="466" t="s">
        <v>845</v>
      </c>
      <c r="M247" s="466" t="s">
        <v>845</v>
      </c>
      <c r="N247" s="466" t="s">
        <v>845</v>
      </c>
      <c r="O247" s="466" t="s">
        <v>845</v>
      </c>
    </row>
    <row r="248" spans="1:15" ht="15.75" x14ac:dyDescent="0.25">
      <c r="A248" s="419">
        <v>4501</v>
      </c>
      <c r="B248" s="420"/>
      <c r="C248" s="418" t="s">
        <v>632</v>
      </c>
      <c r="D248" s="418" t="s">
        <v>406</v>
      </c>
      <c r="E248" s="466" t="s">
        <v>845</v>
      </c>
      <c r="F248" s="466" t="s">
        <v>845</v>
      </c>
      <c r="G248" s="466" t="s">
        <v>845</v>
      </c>
      <c r="H248" s="466" t="s">
        <v>845</v>
      </c>
      <c r="I248" s="466" t="s">
        <v>845</v>
      </c>
      <c r="J248" s="466" t="s">
        <v>845</v>
      </c>
      <c r="K248" s="466" t="s">
        <v>845</v>
      </c>
      <c r="L248" s="466" t="s">
        <v>845</v>
      </c>
      <c r="M248" s="466" t="s">
        <v>845</v>
      </c>
      <c r="N248" s="466" t="s">
        <v>845</v>
      </c>
      <c r="O248" s="466" t="s">
        <v>845</v>
      </c>
    </row>
    <row r="249" spans="1:15" ht="15.75" x14ac:dyDescent="0.25">
      <c r="A249" s="419">
        <v>4502</v>
      </c>
      <c r="B249" s="420"/>
      <c r="C249" s="418" t="s">
        <v>633</v>
      </c>
      <c r="D249" s="418" t="s">
        <v>407</v>
      </c>
      <c r="E249" s="466" t="s">
        <v>845</v>
      </c>
      <c r="F249" s="466" t="s">
        <v>845</v>
      </c>
      <c r="G249" s="466" t="s">
        <v>845</v>
      </c>
      <c r="H249" s="466" t="s">
        <v>845</v>
      </c>
      <c r="I249" s="466" t="s">
        <v>845</v>
      </c>
      <c r="J249" s="466" t="s">
        <v>845</v>
      </c>
      <c r="K249" s="466" t="s">
        <v>845</v>
      </c>
      <c r="L249" s="466" t="s">
        <v>845</v>
      </c>
      <c r="M249" s="466" t="s">
        <v>845</v>
      </c>
      <c r="N249" s="466" t="s">
        <v>845</v>
      </c>
      <c r="O249" s="466" t="s">
        <v>845</v>
      </c>
    </row>
    <row r="250" spans="1:15" ht="15.75" x14ac:dyDescent="0.25">
      <c r="A250" s="419">
        <v>4503</v>
      </c>
      <c r="B250" s="420"/>
      <c r="C250" s="418" t="s">
        <v>408</v>
      </c>
      <c r="D250" s="418" t="s">
        <v>409</v>
      </c>
      <c r="E250" s="466" t="s">
        <v>845</v>
      </c>
      <c r="F250" s="466" t="s">
        <v>845</v>
      </c>
      <c r="G250" s="466" t="s">
        <v>845</v>
      </c>
      <c r="H250" s="466" t="s">
        <v>845</v>
      </c>
      <c r="I250" s="466" t="s">
        <v>845</v>
      </c>
      <c r="J250" s="466" t="s">
        <v>845</v>
      </c>
      <c r="K250" s="466" t="s">
        <v>845</v>
      </c>
      <c r="L250" s="466" t="s">
        <v>845</v>
      </c>
      <c r="M250" s="466" t="s">
        <v>845</v>
      </c>
      <c r="N250" s="466" t="s">
        <v>845</v>
      </c>
      <c r="O250" s="466" t="s">
        <v>845</v>
      </c>
    </row>
    <row r="251" spans="1:15" ht="15.75" x14ac:dyDescent="0.25">
      <c r="A251" s="582">
        <v>4504</v>
      </c>
      <c r="B251" s="583"/>
      <c r="C251" s="584" t="s">
        <v>1033</v>
      </c>
      <c r="D251" s="584" t="s">
        <v>1034</v>
      </c>
      <c r="E251" s="466" t="s">
        <v>845</v>
      </c>
      <c r="F251" s="466" t="s">
        <v>845</v>
      </c>
      <c r="G251" s="466" t="s">
        <v>845</v>
      </c>
      <c r="H251" s="466" t="s">
        <v>845</v>
      </c>
      <c r="I251" s="466" t="s">
        <v>845</v>
      </c>
      <c r="J251" s="466" t="s">
        <v>845</v>
      </c>
      <c r="K251" s="466" t="s">
        <v>845</v>
      </c>
      <c r="L251" s="466" t="s">
        <v>845</v>
      </c>
      <c r="M251" s="466" t="s">
        <v>845</v>
      </c>
      <c r="N251" s="466" t="s">
        <v>845</v>
      </c>
      <c r="O251" s="466" t="s">
        <v>845</v>
      </c>
    </row>
    <row r="252" spans="1:15" ht="15.75" x14ac:dyDescent="0.25">
      <c r="A252" s="582">
        <v>4505</v>
      </c>
      <c r="B252" s="583"/>
      <c r="C252" s="584" t="s">
        <v>1040</v>
      </c>
      <c r="D252" s="584" t="s">
        <v>1042</v>
      </c>
      <c r="E252" s="466" t="s">
        <v>845</v>
      </c>
      <c r="F252" s="466" t="s">
        <v>845</v>
      </c>
      <c r="G252" s="466" t="s">
        <v>845</v>
      </c>
      <c r="H252" s="466" t="s">
        <v>845</v>
      </c>
      <c r="I252" s="466" t="s">
        <v>845</v>
      </c>
      <c r="J252" s="466" t="s">
        <v>845</v>
      </c>
      <c r="K252" s="466" t="s">
        <v>845</v>
      </c>
      <c r="L252" s="466" t="s">
        <v>845</v>
      </c>
      <c r="M252" s="466" t="s">
        <v>845</v>
      </c>
      <c r="N252" s="466" t="s">
        <v>845</v>
      </c>
      <c r="O252" s="466" t="s">
        <v>845</v>
      </c>
    </row>
    <row r="253" spans="1:15" ht="15.75" x14ac:dyDescent="0.25">
      <c r="A253" s="582">
        <v>4506</v>
      </c>
      <c r="B253" s="583"/>
      <c r="C253" s="584" t="s">
        <v>1041</v>
      </c>
      <c r="D253" s="584" t="s">
        <v>1043</v>
      </c>
      <c r="E253" s="466" t="s">
        <v>845</v>
      </c>
      <c r="F253" s="466" t="s">
        <v>845</v>
      </c>
      <c r="G253" s="466" t="s">
        <v>845</v>
      </c>
      <c r="H253" s="466" t="s">
        <v>845</v>
      </c>
      <c r="I253" s="466" t="s">
        <v>845</v>
      </c>
      <c r="J253" s="466" t="s">
        <v>845</v>
      </c>
      <c r="K253" s="466" t="s">
        <v>845</v>
      </c>
      <c r="L253" s="466" t="s">
        <v>845</v>
      </c>
      <c r="M253" s="466" t="s">
        <v>845</v>
      </c>
      <c r="N253" s="466" t="s">
        <v>845</v>
      </c>
      <c r="O253" s="466" t="s">
        <v>845</v>
      </c>
    </row>
    <row r="254" spans="1:15" ht="15.75" thickBot="1" x14ac:dyDescent="0.25">
      <c r="A254" s="454"/>
      <c r="B254" s="455"/>
      <c r="C254" s="456"/>
      <c r="D254" s="456"/>
      <c r="E254" s="552"/>
      <c r="F254" s="552"/>
      <c r="G254" s="552"/>
      <c r="H254" s="552"/>
      <c r="I254" s="552"/>
      <c r="J254" s="552"/>
      <c r="K254" s="552"/>
      <c r="L254" s="552"/>
      <c r="M254" s="552"/>
      <c r="N254" s="552"/>
      <c r="O254" s="552"/>
    </row>
    <row r="255" spans="1:15" ht="15.75" thickTop="1" x14ac:dyDescent="0.2">
      <c r="A255" s="478"/>
      <c r="B255" s="479"/>
      <c r="C255" s="480"/>
      <c r="D255" s="480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4"/>
    </row>
    <row r="256" spans="1:15" ht="20.25" x14ac:dyDescent="0.3">
      <c r="A256" s="481"/>
      <c r="B256" s="500" t="s">
        <v>83</v>
      </c>
      <c r="C256" s="501" t="s">
        <v>1037</v>
      </c>
      <c r="D256" s="501" t="s">
        <v>137</v>
      </c>
      <c r="E256" s="555">
        <f t="shared" ref="E256:O256" si="50">E19-E140</f>
        <v>51901506.426306248</v>
      </c>
      <c r="F256" s="555">
        <f t="shared" si="50"/>
        <v>52294541.812718391</v>
      </c>
      <c r="G256" s="555">
        <f t="shared" si="50"/>
        <v>858721.41545629501</v>
      </c>
      <c r="H256" s="555">
        <f t="shared" si="50"/>
        <v>3809213.8207316399</v>
      </c>
      <c r="I256" s="555">
        <f t="shared" si="50"/>
        <v>34341553.997663498</v>
      </c>
      <c r="J256" s="555">
        <f t="shared" si="50"/>
        <v>-142217338.507761</v>
      </c>
      <c r="K256" s="555">
        <f t="shared" si="50"/>
        <v>-106791366.21599007</v>
      </c>
      <c r="L256" s="555">
        <f t="shared" si="50"/>
        <v>-97215213.236521721</v>
      </c>
      <c r="M256" s="555">
        <f t="shared" si="50"/>
        <v>-110141956.0602569</v>
      </c>
      <c r="N256" s="555">
        <f t="shared" si="50"/>
        <v>-23058700.653688788</v>
      </c>
      <c r="O256" s="555">
        <f t="shared" si="50"/>
        <v>22388201.356492996</v>
      </c>
    </row>
    <row r="257" spans="1:15" ht="20.25" x14ac:dyDescent="0.3">
      <c r="A257" s="481"/>
      <c r="B257" s="500"/>
      <c r="C257" s="501" t="s">
        <v>138</v>
      </c>
      <c r="D257" s="501" t="s">
        <v>138</v>
      </c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</row>
    <row r="258" spans="1:15" ht="21" thickBot="1" x14ac:dyDescent="0.35">
      <c r="A258" s="505"/>
      <c r="B258" s="506"/>
      <c r="C258" s="507"/>
      <c r="D258" s="50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</row>
    <row r="259" spans="1:15" ht="15.75" thickTop="1" x14ac:dyDescent="0.2">
      <c r="A259" s="508"/>
      <c r="B259" s="509"/>
      <c r="C259" s="510"/>
      <c r="D259" s="510"/>
      <c r="E259" s="558"/>
      <c r="F259" s="558"/>
      <c r="G259" s="558"/>
      <c r="H259" s="558"/>
      <c r="I259" s="558"/>
      <c r="J259" s="558"/>
      <c r="K259" s="558"/>
      <c r="L259" s="558"/>
      <c r="M259" s="558"/>
      <c r="N259" s="558"/>
      <c r="O259" s="558"/>
    </row>
    <row r="260" spans="1:15" ht="20.25" x14ac:dyDescent="0.3">
      <c r="A260" s="499"/>
      <c r="B260" s="500" t="s">
        <v>139</v>
      </c>
      <c r="C260" s="501" t="s">
        <v>851</v>
      </c>
      <c r="D260" s="501" t="s">
        <v>770</v>
      </c>
      <c r="E260" s="555">
        <f t="shared" ref="E260:O260" si="51">(E19-E68)-(E140-E157-E165)</f>
        <v>35027178.267401218</v>
      </c>
      <c r="F260" s="555">
        <f t="shared" si="51"/>
        <v>93054736.271072865</v>
      </c>
      <c r="G260" s="555">
        <f t="shared" si="51"/>
        <v>76427274.244699955</v>
      </c>
      <c r="H260" s="555">
        <f t="shared" si="51"/>
        <v>88303025.371390343</v>
      </c>
      <c r="I260" s="555">
        <f t="shared" si="51"/>
        <v>144386504.75713634</v>
      </c>
      <c r="J260" s="555">
        <f t="shared" si="51"/>
        <v>-17897613.086296082</v>
      </c>
      <c r="K260" s="555">
        <f t="shared" si="51"/>
        <v>40911029.043566704</v>
      </c>
      <c r="L260" s="555">
        <f t="shared" si="51"/>
        <v>86416003.171422958</v>
      </c>
      <c r="M260" s="555">
        <f t="shared" si="51"/>
        <v>-91453415.986938536</v>
      </c>
      <c r="N260" s="555">
        <f t="shared" si="51"/>
        <v>-7411517.2971539497</v>
      </c>
      <c r="O260" s="555">
        <f t="shared" si="51"/>
        <v>46520329.116299391</v>
      </c>
    </row>
    <row r="261" spans="1:15" ht="20.25" x14ac:dyDescent="0.3">
      <c r="A261" s="499"/>
      <c r="B261" s="500"/>
      <c r="C261" s="501" t="s">
        <v>140</v>
      </c>
      <c r="D261" s="501" t="s">
        <v>140</v>
      </c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</row>
    <row r="262" spans="1:15" ht="15.75" thickBot="1" x14ac:dyDescent="0.25">
      <c r="A262" s="502"/>
      <c r="B262" s="503"/>
      <c r="C262" s="504"/>
      <c r="D262" s="504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</row>
    <row r="263" spans="1:15" ht="15.75" thickTop="1" x14ac:dyDescent="0.2">
      <c r="A263" s="440"/>
      <c r="B263" s="440"/>
      <c r="C263" s="440"/>
      <c r="D263" s="44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0"/>
    </row>
    <row r="264" spans="1:15" x14ac:dyDescent="0.2">
      <c r="A264" s="440"/>
      <c r="B264" s="440"/>
      <c r="C264" s="440"/>
      <c r="D264" s="44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0"/>
    </row>
    <row r="265" spans="1:15" ht="20.25" x14ac:dyDescent="0.3">
      <c r="A265" s="569"/>
      <c r="B265" s="472" t="s">
        <v>841</v>
      </c>
      <c r="C265" s="471" t="s">
        <v>80</v>
      </c>
      <c r="D265" s="471" t="s">
        <v>871</v>
      </c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</row>
    <row r="266" spans="1:15" ht="15.75" thickBot="1" x14ac:dyDescent="0.25">
      <c r="A266" s="440"/>
      <c r="B266" s="439"/>
      <c r="C266" s="440"/>
      <c r="D266" s="440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</row>
    <row r="267" spans="1:15" ht="15.75" thickTop="1" x14ac:dyDescent="0.2">
      <c r="A267" s="448"/>
      <c r="B267" s="449"/>
      <c r="C267" s="450"/>
      <c r="D267" s="450"/>
      <c r="E267" s="550"/>
      <c r="F267" s="550"/>
      <c r="G267" s="550"/>
      <c r="H267" s="550"/>
      <c r="I267" s="550"/>
      <c r="J267" s="550"/>
      <c r="K267" s="550"/>
      <c r="L267" s="550"/>
      <c r="M267" s="550"/>
      <c r="N267" s="550"/>
      <c r="O267" s="550"/>
    </row>
    <row r="268" spans="1:15" ht="20.25" x14ac:dyDescent="0.3">
      <c r="A268" s="467">
        <v>75</v>
      </c>
      <c r="B268" s="468" t="s">
        <v>100</v>
      </c>
      <c r="C268" s="469" t="s">
        <v>161</v>
      </c>
      <c r="D268" s="469" t="s">
        <v>162</v>
      </c>
      <c r="E268" s="551">
        <f t="shared" ref="E268:O268" si="52">E270+E282+E289</f>
        <v>221565.68185611753</v>
      </c>
      <c r="F268" s="551">
        <f t="shared" si="52"/>
        <v>1989087.7983642132</v>
      </c>
      <c r="G268" s="551">
        <f t="shared" si="52"/>
        <v>1447416.9587714905</v>
      </c>
      <c r="H268" s="551">
        <f t="shared" si="52"/>
        <v>38883245.701886162</v>
      </c>
      <c r="I268" s="551">
        <f t="shared" si="52"/>
        <v>47141140.877983645</v>
      </c>
      <c r="J268" s="551">
        <f t="shared" si="52"/>
        <v>68059217.993657157</v>
      </c>
      <c r="K268" s="551">
        <f t="shared" si="52"/>
        <v>111146081.62243366</v>
      </c>
      <c r="L268" s="551">
        <f t="shared" si="52"/>
        <v>69298046.236020714</v>
      </c>
      <c r="M268" s="551">
        <f t="shared" si="52"/>
        <v>1859972.8591220165</v>
      </c>
      <c r="N268" s="551">
        <f t="shared" si="52"/>
        <v>1396636.9406609915</v>
      </c>
      <c r="O268" s="551">
        <f t="shared" si="52"/>
        <v>1187973.9088632951</v>
      </c>
    </row>
    <row r="269" spans="1:15" x14ac:dyDescent="0.2">
      <c r="A269" s="436"/>
      <c r="B269" s="437"/>
      <c r="C269" s="447" t="s">
        <v>1028</v>
      </c>
      <c r="D269" s="447" t="s">
        <v>1028</v>
      </c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</row>
    <row r="270" spans="1:15" ht="18" x14ac:dyDescent="0.25">
      <c r="A270" s="461">
        <v>750</v>
      </c>
      <c r="B270" s="462"/>
      <c r="C270" s="463" t="s">
        <v>410</v>
      </c>
      <c r="D270" s="463" t="s">
        <v>411</v>
      </c>
      <c r="E270" s="474">
        <f t="shared" ref="E270:O270" si="53">SUM(E271:E280)</f>
        <v>0</v>
      </c>
      <c r="F270" s="474">
        <f t="shared" si="53"/>
        <v>982298.44767150737</v>
      </c>
      <c r="G270" s="474">
        <f t="shared" si="53"/>
        <v>610741.11166750127</v>
      </c>
      <c r="H270" s="474">
        <f t="shared" si="53"/>
        <v>1157227.5079285596</v>
      </c>
      <c r="I270" s="474">
        <f t="shared" si="53"/>
        <v>2118573.6938741449</v>
      </c>
      <c r="J270" s="474">
        <f t="shared" si="53"/>
        <v>1415481.5556668337</v>
      </c>
      <c r="K270" s="474">
        <f t="shared" si="53"/>
        <v>7072216.6583208144</v>
      </c>
      <c r="L270" s="474">
        <f t="shared" si="53"/>
        <v>27553110.499081958</v>
      </c>
      <c r="M270" s="474">
        <f t="shared" si="53"/>
        <v>644768.65556668327</v>
      </c>
      <c r="N270" s="474">
        <f t="shared" si="53"/>
        <v>1396636.9406609915</v>
      </c>
      <c r="O270" s="474">
        <f t="shared" si="53"/>
        <v>996109.58028709749</v>
      </c>
    </row>
    <row r="271" spans="1:15" ht="15.75" x14ac:dyDescent="0.25">
      <c r="A271" s="419">
        <v>7500</v>
      </c>
      <c r="B271" s="420"/>
      <c r="C271" s="418" t="s">
        <v>852</v>
      </c>
      <c r="D271" s="418" t="s">
        <v>681</v>
      </c>
      <c r="E271" s="466">
        <v>0</v>
      </c>
      <c r="F271" s="466">
        <v>0</v>
      </c>
      <c r="G271" s="466">
        <v>0</v>
      </c>
      <c r="H271" s="466">
        <v>0</v>
      </c>
      <c r="I271" s="466">
        <v>0</v>
      </c>
      <c r="J271" s="466">
        <v>0</v>
      </c>
      <c r="K271" s="466">
        <v>0</v>
      </c>
      <c r="L271" s="466">
        <v>1958500.2503755633</v>
      </c>
      <c r="M271" s="466">
        <v>185630.79410782841</v>
      </c>
      <c r="N271" s="466">
        <v>184678.77774995827</v>
      </c>
      <c r="O271" s="466">
        <v>164905.47028876652</v>
      </c>
    </row>
    <row r="272" spans="1:15" ht="15.75" x14ac:dyDescent="0.25">
      <c r="A272" s="419">
        <v>7501</v>
      </c>
      <c r="B272" s="420"/>
      <c r="C272" s="418" t="s">
        <v>853</v>
      </c>
      <c r="D272" s="418" t="s">
        <v>665</v>
      </c>
      <c r="E272" s="466">
        <v>0</v>
      </c>
      <c r="F272" s="466">
        <v>982298.44767150737</v>
      </c>
      <c r="G272" s="466">
        <v>610741.11166750127</v>
      </c>
      <c r="H272" s="466">
        <v>1157227.5079285596</v>
      </c>
      <c r="I272" s="466">
        <v>2118573.6938741449</v>
      </c>
      <c r="J272" s="466">
        <v>1415481.5556668337</v>
      </c>
      <c r="K272" s="466">
        <v>2356714.2380237025</v>
      </c>
      <c r="L272" s="466">
        <v>153768.15222834254</v>
      </c>
      <c r="M272" s="466">
        <v>2921.048239025205</v>
      </c>
      <c r="N272" s="466">
        <v>0</v>
      </c>
      <c r="O272" s="466">
        <v>20864.630278751461</v>
      </c>
    </row>
    <row r="273" spans="1:15" ht="15.75" x14ac:dyDescent="0.25">
      <c r="A273" s="419">
        <v>7502</v>
      </c>
      <c r="B273" s="420"/>
      <c r="C273" s="418" t="s">
        <v>854</v>
      </c>
      <c r="D273" s="418" t="s">
        <v>412</v>
      </c>
      <c r="E273" s="466">
        <v>0</v>
      </c>
      <c r="F273" s="466">
        <v>0</v>
      </c>
      <c r="G273" s="466">
        <v>0</v>
      </c>
      <c r="H273" s="466">
        <v>0</v>
      </c>
      <c r="I273" s="466">
        <v>0</v>
      </c>
      <c r="J273" s="466">
        <v>0</v>
      </c>
      <c r="K273" s="466">
        <v>0</v>
      </c>
      <c r="L273" s="466">
        <v>23625894.675346356</v>
      </c>
      <c r="M273" s="466">
        <v>261342.01301952932</v>
      </c>
      <c r="N273" s="466">
        <v>178096.31113336672</v>
      </c>
      <c r="O273" s="466">
        <v>501009.8481054916</v>
      </c>
    </row>
    <row r="274" spans="1:15" ht="15.75" x14ac:dyDescent="0.25">
      <c r="A274" s="419">
        <v>7503</v>
      </c>
      <c r="B274" s="420"/>
      <c r="C274" s="418" t="s">
        <v>855</v>
      </c>
      <c r="D274" s="418" t="s">
        <v>685</v>
      </c>
      <c r="E274" s="466">
        <v>0</v>
      </c>
      <c r="F274" s="466">
        <v>0</v>
      </c>
      <c r="G274" s="466">
        <v>0</v>
      </c>
      <c r="H274" s="466">
        <v>0</v>
      </c>
      <c r="I274" s="466">
        <v>0</v>
      </c>
      <c r="J274" s="466">
        <v>0</v>
      </c>
      <c r="K274" s="466">
        <v>4584885.6618260723</v>
      </c>
      <c r="L274" s="466">
        <v>1814947.4211316977</v>
      </c>
      <c r="M274" s="466">
        <v>55171.006551493912</v>
      </c>
      <c r="N274" s="466">
        <v>537054.87748289097</v>
      </c>
      <c r="O274" s="466">
        <v>111924.48706392923</v>
      </c>
    </row>
    <row r="275" spans="1:15" ht="15.75" x14ac:dyDescent="0.25">
      <c r="A275" s="419">
        <v>7504</v>
      </c>
      <c r="B275" s="420"/>
      <c r="C275" s="418" t="s">
        <v>666</v>
      </c>
      <c r="D275" s="418" t="s">
        <v>687</v>
      </c>
      <c r="E275" s="466">
        <v>0</v>
      </c>
      <c r="F275" s="466">
        <v>0</v>
      </c>
      <c r="G275" s="466">
        <v>0</v>
      </c>
      <c r="H275" s="466">
        <v>0</v>
      </c>
      <c r="I275" s="466">
        <v>0</v>
      </c>
      <c r="J275" s="466">
        <v>0</v>
      </c>
      <c r="K275" s="466">
        <v>130616.7584710399</v>
      </c>
      <c r="L275" s="466">
        <v>0</v>
      </c>
      <c r="M275" s="466">
        <v>139703.79364880652</v>
      </c>
      <c r="N275" s="466">
        <v>496806.97429477551</v>
      </c>
      <c r="O275" s="466">
        <v>197405.14455015858</v>
      </c>
    </row>
    <row r="276" spans="1:15" ht="15.75" x14ac:dyDescent="0.25">
      <c r="A276" s="419">
        <v>7505</v>
      </c>
      <c r="B276" s="420"/>
      <c r="C276" s="418" t="s">
        <v>856</v>
      </c>
      <c r="D276" s="418" t="s">
        <v>667</v>
      </c>
      <c r="E276" s="466">
        <v>0</v>
      </c>
      <c r="F276" s="466">
        <v>0</v>
      </c>
      <c r="G276" s="466">
        <v>0</v>
      </c>
      <c r="H276" s="466">
        <v>0</v>
      </c>
      <c r="I276" s="466">
        <v>0</v>
      </c>
      <c r="J276" s="466">
        <v>0</v>
      </c>
      <c r="K276" s="466">
        <v>0</v>
      </c>
      <c r="L276" s="466">
        <v>0</v>
      </c>
      <c r="M276" s="466">
        <v>0</v>
      </c>
      <c r="N276" s="466">
        <v>0</v>
      </c>
      <c r="O276" s="466">
        <v>0</v>
      </c>
    </row>
    <row r="277" spans="1:15" ht="15.75" x14ac:dyDescent="0.25">
      <c r="A277" s="419">
        <v>7506</v>
      </c>
      <c r="B277" s="420"/>
      <c r="C277" s="418" t="s">
        <v>857</v>
      </c>
      <c r="D277" s="418" t="s">
        <v>693</v>
      </c>
      <c r="E277" s="466">
        <v>0</v>
      </c>
      <c r="F277" s="466">
        <v>0</v>
      </c>
      <c r="G277" s="466">
        <v>0</v>
      </c>
      <c r="H277" s="466">
        <v>0</v>
      </c>
      <c r="I277" s="466">
        <v>0</v>
      </c>
      <c r="J277" s="466">
        <v>0</v>
      </c>
      <c r="K277" s="466">
        <v>0</v>
      </c>
      <c r="L277" s="466">
        <v>0</v>
      </c>
      <c r="M277" s="466">
        <v>0</v>
      </c>
      <c r="N277" s="466">
        <v>0</v>
      </c>
      <c r="O277" s="466">
        <v>0</v>
      </c>
    </row>
    <row r="278" spans="1:15" ht="15.75" x14ac:dyDescent="0.25">
      <c r="A278" s="419">
        <v>7507</v>
      </c>
      <c r="B278" s="420"/>
      <c r="C278" s="418" t="s">
        <v>858</v>
      </c>
      <c r="D278" s="418" t="s">
        <v>691</v>
      </c>
      <c r="E278" s="466">
        <v>0</v>
      </c>
      <c r="F278" s="466">
        <v>0</v>
      </c>
      <c r="G278" s="466">
        <v>0</v>
      </c>
      <c r="H278" s="466">
        <v>0</v>
      </c>
      <c r="I278" s="466">
        <v>0</v>
      </c>
      <c r="J278" s="466">
        <v>0</v>
      </c>
      <c r="K278" s="466">
        <v>0</v>
      </c>
      <c r="L278" s="466">
        <v>0</v>
      </c>
      <c r="M278" s="466">
        <v>0</v>
      </c>
      <c r="N278" s="466">
        <v>0</v>
      </c>
      <c r="O278" s="466">
        <v>0</v>
      </c>
    </row>
    <row r="279" spans="1:15" ht="15.75" x14ac:dyDescent="0.25">
      <c r="A279" s="419">
        <v>7508</v>
      </c>
      <c r="B279" s="420"/>
      <c r="C279" s="418" t="s">
        <v>859</v>
      </c>
      <c r="D279" s="418" t="s">
        <v>668</v>
      </c>
      <c r="E279" s="466">
        <v>0</v>
      </c>
      <c r="F279" s="466">
        <v>0</v>
      </c>
      <c r="G279" s="466">
        <v>0</v>
      </c>
      <c r="H279" s="466">
        <v>0</v>
      </c>
      <c r="I279" s="466">
        <v>0</v>
      </c>
      <c r="J279" s="466">
        <v>0</v>
      </c>
      <c r="K279" s="466">
        <v>0</v>
      </c>
      <c r="L279" s="466">
        <v>0</v>
      </c>
      <c r="M279" s="466">
        <v>0</v>
      </c>
      <c r="N279" s="466">
        <v>0</v>
      </c>
      <c r="O279" s="466">
        <v>0</v>
      </c>
    </row>
    <row r="280" spans="1:15" ht="15.75" x14ac:dyDescent="0.25">
      <c r="A280" s="419">
        <v>7509</v>
      </c>
      <c r="B280" s="420"/>
      <c r="C280" s="418" t="s">
        <v>860</v>
      </c>
      <c r="D280" s="418" t="s">
        <v>413</v>
      </c>
      <c r="E280" s="466">
        <v>0</v>
      </c>
      <c r="F280" s="466">
        <v>0</v>
      </c>
      <c r="G280" s="466">
        <v>0</v>
      </c>
      <c r="H280" s="466">
        <v>0</v>
      </c>
      <c r="I280" s="466">
        <v>0</v>
      </c>
      <c r="J280" s="466">
        <v>0</v>
      </c>
      <c r="K280" s="466">
        <v>0</v>
      </c>
      <c r="L280" s="466">
        <v>0</v>
      </c>
      <c r="M280" s="466">
        <v>0</v>
      </c>
      <c r="N280" s="466">
        <v>0</v>
      </c>
      <c r="O280" s="466">
        <v>0</v>
      </c>
    </row>
    <row r="281" spans="1:15" x14ac:dyDescent="0.2">
      <c r="A281" s="436"/>
      <c r="B281" s="437"/>
      <c r="C281" s="421" t="s">
        <v>1028</v>
      </c>
      <c r="D281" s="421" t="s">
        <v>1028</v>
      </c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</row>
    <row r="282" spans="1:15" ht="18" x14ac:dyDescent="0.25">
      <c r="A282" s="461">
        <v>751</v>
      </c>
      <c r="B282" s="462"/>
      <c r="C282" s="463" t="s">
        <v>414</v>
      </c>
      <c r="D282" s="463" t="s">
        <v>415</v>
      </c>
      <c r="E282" s="474">
        <f t="shared" ref="E282:O282" si="54">SUM(E283:E286)</f>
        <v>221565.68185611753</v>
      </c>
      <c r="F282" s="474">
        <f t="shared" si="54"/>
        <v>1006789.3506927057</v>
      </c>
      <c r="G282" s="474">
        <f t="shared" si="54"/>
        <v>836675.84710398933</v>
      </c>
      <c r="H282" s="474">
        <f t="shared" si="54"/>
        <v>2024365.715239526</v>
      </c>
      <c r="I282" s="474">
        <f t="shared" si="54"/>
        <v>1787360.2069771325</v>
      </c>
      <c r="J282" s="474">
        <f t="shared" si="54"/>
        <v>788966.78350859624</v>
      </c>
      <c r="K282" s="474">
        <f t="shared" si="54"/>
        <v>47320726.923718914</v>
      </c>
      <c r="L282" s="474">
        <f t="shared" si="54"/>
        <v>2570831.2468703054</v>
      </c>
      <c r="M282" s="474">
        <f t="shared" si="54"/>
        <v>0</v>
      </c>
      <c r="N282" s="474">
        <f t="shared" si="54"/>
        <v>0</v>
      </c>
      <c r="O282" s="474">
        <f t="shared" si="54"/>
        <v>0</v>
      </c>
    </row>
    <row r="283" spans="1:15" ht="15.75" x14ac:dyDescent="0.25">
      <c r="A283" s="419">
        <v>7510</v>
      </c>
      <c r="B283" s="420"/>
      <c r="C283" s="418" t="s">
        <v>669</v>
      </c>
      <c r="D283" s="418" t="s">
        <v>416</v>
      </c>
      <c r="E283" s="466">
        <v>221565.68185611753</v>
      </c>
      <c r="F283" s="466">
        <v>1006789.3506927057</v>
      </c>
      <c r="G283" s="466">
        <v>836675.84710398933</v>
      </c>
      <c r="H283" s="466">
        <v>2024365.715239526</v>
      </c>
      <c r="I283" s="466">
        <v>1787360.2069771325</v>
      </c>
      <c r="J283" s="466">
        <v>788966.78350859624</v>
      </c>
      <c r="K283" s="466">
        <v>2146807.7115673516</v>
      </c>
      <c r="L283" s="466">
        <v>102274.24470038392</v>
      </c>
      <c r="M283" s="466">
        <v>0</v>
      </c>
      <c r="N283" s="466">
        <v>0</v>
      </c>
      <c r="O283" s="466">
        <v>0</v>
      </c>
    </row>
    <row r="284" spans="1:15" ht="15.75" x14ac:dyDescent="0.25">
      <c r="A284" s="419">
        <v>7511</v>
      </c>
      <c r="B284" s="420"/>
      <c r="C284" s="418" t="s">
        <v>670</v>
      </c>
      <c r="D284" s="418" t="s">
        <v>417</v>
      </c>
      <c r="E284" s="466">
        <v>0</v>
      </c>
      <c r="F284" s="466">
        <v>0</v>
      </c>
      <c r="G284" s="466">
        <v>0</v>
      </c>
      <c r="H284" s="466">
        <v>0</v>
      </c>
      <c r="I284" s="466">
        <v>0</v>
      </c>
      <c r="J284" s="466">
        <v>0</v>
      </c>
      <c r="K284" s="466">
        <v>0</v>
      </c>
      <c r="L284" s="466">
        <v>270898.01368719747</v>
      </c>
      <c r="M284" s="466">
        <v>0</v>
      </c>
      <c r="N284" s="466">
        <v>0</v>
      </c>
      <c r="O284" s="466">
        <v>0</v>
      </c>
    </row>
    <row r="285" spans="1:15" ht="15.75" x14ac:dyDescent="0.25">
      <c r="A285" s="419">
        <v>7512</v>
      </c>
      <c r="B285" s="420"/>
      <c r="C285" s="418" t="s">
        <v>671</v>
      </c>
      <c r="D285" s="418" t="s">
        <v>418</v>
      </c>
      <c r="E285" s="466">
        <v>0</v>
      </c>
      <c r="F285" s="466">
        <v>0</v>
      </c>
      <c r="G285" s="466">
        <v>0</v>
      </c>
      <c r="H285" s="466">
        <v>0</v>
      </c>
      <c r="I285" s="466">
        <v>0</v>
      </c>
      <c r="J285" s="466">
        <v>0</v>
      </c>
      <c r="K285" s="466">
        <v>45173919.212151565</v>
      </c>
      <c r="L285" s="466">
        <v>2197658.9884827239</v>
      </c>
      <c r="M285" s="466">
        <v>0</v>
      </c>
      <c r="N285" s="466">
        <v>0</v>
      </c>
      <c r="O285" s="466">
        <v>0</v>
      </c>
    </row>
    <row r="286" spans="1:15" ht="15.75" x14ac:dyDescent="0.25">
      <c r="A286" s="419">
        <v>7513</v>
      </c>
      <c r="B286" s="420"/>
      <c r="C286" s="418" t="s">
        <v>672</v>
      </c>
      <c r="D286" s="418" t="s">
        <v>419</v>
      </c>
      <c r="E286" s="466">
        <v>0</v>
      </c>
      <c r="F286" s="466">
        <v>0</v>
      </c>
      <c r="G286" s="466">
        <v>0</v>
      </c>
      <c r="H286" s="466">
        <v>0</v>
      </c>
      <c r="I286" s="466">
        <v>0</v>
      </c>
      <c r="J286" s="466">
        <v>0</v>
      </c>
      <c r="K286" s="466">
        <v>0</v>
      </c>
      <c r="L286" s="466">
        <v>0</v>
      </c>
      <c r="M286" s="466">
        <v>0</v>
      </c>
      <c r="N286" s="466">
        <v>0</v>
      </c>
      <c r="O286" s="466">
        <v>0</v>
      </c>
    </row>
    <row r="287" spans="1:15" ht="15.75" x14ac:dyDescent="0.25">
      <c r="A287" s="419">
        <v>7514</v>
      </c>
      <c r="B287" s="420"/>
      <c r="C287" s="418" t="s">
        <v>166</v>
      </c>
      <c r="D287" s="418" t="s">
        <v>167</v>
      </c>
      <c r="E287" s="466"/>
      <c r="F287" s="466"/>
      <c r="G287" s="466"/>
      <c r="H287" s="466"/>
      <c r="I287" s="466"/>
      <c r="J287" s="466"/>
      <c r="K287" s="466"/>
      <c r="L287" s="466"/>
      <c r="M287" s="466"/>
      <c r="N287" s="466"/>
      <c r="O287" s="466"/>
    </row>
    <row r="288" spans="1:15" x14ac:dyDescent="0.2">
      <c r="A288" s="436"/>
      <c r="B288" s="437"/>
      <c r="C288" s="421" t="s">
        <v>1028</v>
      </c>
      <c r="D288" s="421" t="s">
        <v>1028</v>
      </c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</row>
    <row r="289" spans="1:15" ht="18" x14ac:dyDescent="0.25">
      <c r="A289" s="461">
        <v>752</v>
      </c>
      <c r="B289" s="462"/>
      <c r="C289" s="463" t="s">
        <v>420</v>
      </c>
      <c r="D289" s="463" t="s">
        <v>421</v>
      </c>
      <c r="E289" s="474">
        <f t="shared" ref="E289:O289" si="55">E290</f>
        <v>0</v>
      </c>
      <c r="F289" s="474">
        <f t="shared" si="55"/>
        <v>0</v>
      </c>
      <c r="G289" s="474">
        <f t="shared" si="55"/>
        <v>0</v>
      </c>
      <c r="H289" s="474">
        <f t="shared" si="55"/>
        <v>35701652.47871808</v>
      </c>
      <c r="I289" s="474">
        <f t="shared" si="55"/>
        <v>43235206.977132365</v>
      </c>
      <c r="J289" s="474">
        <f t="shared" si="55"/>
        <v>65854769.654481731</v>
      </c>
      <c r="K289" s="474">
        <f t="shared" si="55"/>
        <v>56753138.040393926</v>
      </c>
      <c r="L289" s="474">
        <f t="shared" si="55"/>
        <v>39174104.490068443</v>
      </c>
      <c r="M289" s="474">
        <f t="shared" si="55"/>
        <v>1215204.2035553332</v>
      </c>
      <c r="N289" s="474">
        <f t="shared" si="55"/>
        <v>0</v>
      </c>
      <c r="O289" s="474">
        <f t="shared" si="55"/>
        <v>191864.32857619767</v>
      </c>
    </row>
    <row r="290" spans="1:15" ht="15.75" x14ac:dyDescent="0.25">
      <c r="A290" s="419">
        <v>7520</v>
      </c>
      <c r="B290" s="420"/>
      <c r="C290" s="418" t="s">
        <v>673</v>
      </c>
      <c r="D290" s="418" t="s">
        <v>165</v>
      </c>
      <c r="E290" s="466">
        <v>0</v>
      </c>
      <c r="F290" s="466">
        <v>0</v>
      </c>
      <c r="G290" s="466">
        <v>0</v>
      </c>
      <c r="H290" s="466">
        <v>35701652.47871808</v>
      </c>
      <c r="I290" s="466">
        <v>43235206.977132365</v>
      </c>
      <c r="J290" s="466">
        <v>65854769.654481731</v>
      </c>
      <c r="K290" s="466">
        <v>56753138.040393926</v>
      </c>
      <c r="L290" s="466">
        <v>39174104.490068443</v>
      </c>
      <c r="M290" s="466">
        <v>1215204.2035553332</v>
      </c>
      <c r="N290" s="466">
        <v>0</v>
      </c>
      <c r="O290" s="466">
        <v>191864.32857619767</v>
      </c>
    </row>
    <row r="291" spans="1:15" ht="15.75" thickBot="1" x14ac:dyDescent="0.25">
      <c r="A291" s="454"/>
      <c r="B291" s="455"/>
      <c r="C291" s="456"/>
      <c r="D291" s="456"/>
      <c r="E291" s="552"/>
      <c r="F291" s="552"/>
      <c r="G291" s="552"/>
      <c r="H291" s="552"/>
      <c r="I291" s="552"/>
      <c r="J291" s="552"/>
      <c r="K291" s="552"/>
      <c r="L291" s="552"/>
      <c r="M291" s="552"/>
      <c r="N291" s="552"/>
      <c r="O291" s="552"/>
    </row>
    <row r="292" spans="1:15" ht="15.75" thickTop="1" x14ac:dyDescent="0.2">
      <c r="A292" s="451"/>
      <c r="B292" s="452"/>
      <c r="C292" s="453"/>
      <c r="D292" s="4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53"/>
    </row>
    <row r="293" spans="1:15" ht="20.25" x14ac:dyDescent="0.3">
      <c r="A293" s="467">
        <v>44</v>
      </c>
      <c r="B293" s="468" t="s">
        <v>104</v>
      </c>
      <c r="C293" s="469" t="s">
        <v>149</v>
      </c>
      <c r="D293" s="469" t="s">
        <v>150</v>
      </c>
      <c r="E293" s="551">
        <f t="shared" ref="E293:L293" si="56">E295+E307+E315</f>
        <v>39023122.18327491</v>
      </c>
      <c r="F293" s="551">
        <f t="shared" si="56"/>
        <v>18865961.442163244</v>
      </c>
      <c r="G293" s="551">
        <f t="shared" si="56"/>
        <v>18836070.772825904</v>
      </c>
      <c r="H293" s="551">
        <f t="shared" si="56"/>
        <v>29418022.867634788</v>
      </c>
      <c r="I293" s="551">
        <f t="shared" si="56"/>
        <v>59039742.947754964</v>
      </c>
      <c r="J293" s="551">
        <f t="shared" si="56"/>
        <v>69327048.906693369</v>
      </c>
      <c r="K293" s="551">
        <f t="shared" si="56"/>
        <v>94832749.123685524</v>
      </c>
      <c r="L293" s="551">
        <f t="shared" si="56"/>
        <v>74335581.705892175</v>
      </c>
      <c r="M293" s="551">
        <f t="shared" ref="M293:O293" si="57">M295+M307+M315+M320</f>
        <v>4754834.2415289599</v>
      </c>
      <c r="N293" s="551">
        <f t="shared" si="57"/>
        <v>7165159.90469037</v>
      </c>
      <c r="O293" s="551">
        <f t="shared" si="57"/>
        <v>5433075.7814221336</v>
      </c>
    </row>
    <row r="294" spans="1:15" x14ac:dyDescent="0.2">
      <c r="A294" s="436"/>
      <c r="B294" s="437"/>
      <c r="C294" s="447"/>
      <c r="D294" s="447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</row>
    <row r="295" spans="1:15" ht="18" x14ac:dyDescent="0.25">
      <c r="A295" s="461">
        <v>440</v>
      </c>
      <c r="B295" s="462"/>
      <c r="C295" s="463" t="s">
        <v>109</v>
      </c>
      <c r="D295" s="463" t="s">
        <v>422</v>
      </c>
      <c r="E295" s="474">
        <f t="shared" ref="E295:O295" si="58">SUM(E296:E305)</f>
        <v>37772750.792855948</v>
      </c>
      <c r="F295" s="474">
        <f t="shared" si="58"/>
        <v>17322158.237356033</v>
      </c>
      <c r="G295" s="474">
        <f t="shared" si="58"/>
        <v>15624094.475045903</v>
      </c>
      <c r="H295" s="474">
        <f t="shared" si="58"/>
        <v>3896686.6967117344</v>
      </c>
      <c r="I295" s="474">
        <f t="shared" si="58"/>
        <v>9136120.8479385749</v>
      </c>
      <c r="J295" s="474">
        <f t="shared" si="58"/>
        <v>5859468.369220498</v>
      </c>
      <c r="K295" s="474">
        <f t="shared" si="58"/>
        <v>14581538.975129362</v>
      </c>
      <c r="L295" s="474">
        <f t="shared" si="58"/>
        <v>24629249.707895178</v>
      </c>
      <c r="M295" s="474">
        <f t="shared" si="58"/>
        <v>4742169.4109497583</v>
      </c>
      <c r="N295" s="474">
        <f t="shared" si="58"/>
        <v>2043556.66649975</v>
      </c>
      <c r="O295" s="474">
        <f t="shared" si="58"/>
        <v>1947133.9863962613</v>
      </c>
    </row>
    <row r="296" spans="1:15" ht="15.75" x14ac:dyDescent="0.25">
      <c r="A296" s="419">
        <v>4400</v>
      </c>
      <c r="B296" s="420"/>
      <c r="C296" s="418" t="s">
        <v>624</v>
      </c>
      <c r="D296" s="418" t="s">
        <v>112</v>
      </c>
      <c r="E296" s="466">
        <v>0</v>
      </c>
      <c r="F296" s="466">
        <v>0</v>
      </c>
      <c r="G296" s="466">
        <v>0</v>
      </c>
      <c r="H296" s="466">
        <v>0</v>
      </c>
      <c r="I296" s="466">
        <v>0</v>
      </c>
      <c r="J296" s="466">
        <v>0</v>
      </c>
      <c r="K296" s="466">
        <v>49808.045401435491</v>
      </c>
      <c r="L296" s="466">
        <v>1186087.4645301285</v>
      </c>
      <c r="M296" s="466">
        <v>13966.783508596227</v>
      </c>
      <c r="N296" s="466">
        <v>41729.260557502923</v>
      </c>
      <c r="O296" s="466">
        <v>638.45768652979473</v>
      </c>
    </row>
    <row r="297" spans="1:15" ht="15.75" x14ac:dyDescent="0.25">
      <c r="A297" s="419">
        <v>4401</v>
      </c>
      <c r="B297" s="420"/>
      <c r="C297" s="418" t="s">
        <v>113</v>
      </c>
      <c r="D297" s="418" t="s">
        <v>625</v>
      </c>
      <c r="E297" s="466">
        <v>0</v>
      </c>
      <c r="F297" s="466">
        <v>0</v>
      </c>
      <c r="G297" s="466">
        <v>0</v>
      </c>
      <c r="H297" s="466">
        <v>0</v>
      </c>
      <c r="I297" s="466">
        <v>0</v>
      </c>
      <c r="J297" s="466">
        <v>0</v>
      </c>
      <c r="K297" s="466">
        <v>0</v>
      </c>
      <c r="L297" s="466">
        <v>86225.17108996828</v>
      </c>
      <c r="M297" s="466">
        <v>5842.09647805041</v>
      </c>
      <c r="N297" s="466">
        <v>3359.2054748789851</v>
      </c>
      <c r="O297" s="466">
        <v>1690.0350525788683</v>
      </c>
    </row>
    <row r="298" spans="1:15" ht="15.75" x14ac:dyDescent="0.25">
      <c r="A298" s="419">
        <v>4402</v>
      </c>
      <c r="B298" s="420"/>
      <c r="C298" s="418" t="s">
        <v>626</v>
      </c>
      <c r="D298" s="418" t="s">
        <v>423</v>
      </c>
      <c r="E298" s="466">
        <v>7486.2293440160247</v>
      </c>
      <c r="F298" s="466">
        <v>101619.09530963111</v>
      </c>
      <c r="G298" s="466">
        <v>65131.029878150555</v>
      </c>
      <c r="H298" s="466">
        <v>120580.87130696044</v>
      </c>
      <c r="I298" s="466">
        <v>88904.189617759985</v>
      </c>
      <c r="J298" s="466">
        <v>34664.496745117678</v>
      </c>
      <c r="K298" s="466">
        <v>0</v>
      </c>
      <c r="L298" s="466">
        <v>492947.75496578205</v>
      </c>
      <c r="M298" s="466">
        <v>0</v>
      </c>
      <c r="N298" s="466">
        <v>118440.16024036054</v>
      </c>
      <c r="O298" s="466">
        <v>112218.32749123687</v>
      </c>
    </row>
    <row r="299" spans="1:15" ht="15.75" x14ac:dyDescent="0.25">
      <c r="A299" s="419">
        <v>4403</v>
      </c>
      <c r="B299" s="420"/>
      <c r="C299" s="418" t="s">
        <v>117</v>
      </c>
      <c r="D299" s="418" t="s">
        <v>118</v>
      </c>
      <c r="E299" s="466">
        <v>0</v>
      </c>
      <c r="F299" s="466">
        <v>0</v>
      </c>
      <c r="G299" s="466">
        <v>0</v>
      </c>
      <c r="H299" s="466">
        <v>0</v>
      </c>
      <c r="I299" s="466">
        <v>0</v>
      </c>
      <c r="J299" s="466">
        <v>0</v>
      </c>
      <c r="K299" s="466">
        <v>0</v>
      </c>
      <c r="L299" s="466">
        <v>1131063.2615590051</v>
      </c>
      <c r="M299" s="466">
        <v>244116.17426139209</v>
      </c>
      <c r="N299" s="466">
        <v>346352.86262727424</v>
      </c>
      <c r="O299" s="466">
        <v>62593.890836254388</v>
      </c>
    </row>
    <row r="300" spans="1:15" ht="15.75" x14ac:dyDescent="0.25">
      <c r="A300" s="419">
        <v>4404</v>
      </c>
      <c r="B300" s="420"/>
      <c r="C300" s="418" t="s">
        <v>119</v>
      </c>
      <c r="D300" s="418" t="s">
        <v>120</v>
      </c>
      <c r="E300" s="466">
        <v>37765264.56351193</v>
      </c>
      <c r="F300" s="466">
        <v>17220539.142046403</v>
      </c>
      <c r="G300" s="466">
        <v>15558963.445167752</v>
      </c>
      <c r="H300" s="466">
        <v>3776105.8254047739</v>
      </c>
      <c r="I300" s="466">
        <v>9047216.6583208144</v>
      </c>
      <c r="J300" s="466">
        <v>5824803.8724753801</v>
      </c>
      <c r="K300" s="466">
        <v>14531730.929727927</v>
      </c>
      <c r="L300" s="466">
        <v>21732926.055750296</v>
      </c>
      <c r="M300" s="466">
        <v>4379880.1437155735</v>
      </c>
      <c r="N300" s="466">
        <v>1417396.5930562513</v>
      </c>
      <c r="O300" s="466">
        <v>1659385.697295944</v>
      </c>
    </row>
    <row r="301" spans="1:15" ht="15.75" x14ac:dyDescent="0.25">
      <c r="A301" s="419">
        <v>4405</v>
      </c>
      <c r="B301" s="420"/>
      <c r="C301" s="418" t="s">
        <v>627</v>
      </c>
      <c r="D301" s="418" t="s">
        <v>628</v>
      </c>
      <c r="E301" s="466">
        <v>0</v>
      </c>
      <c r="F301" s="466">
        <v>0</v>
      </c>
      <c r="G301" s="466">
        <v>0</v>
      </c>
      <c r="H301" s="466">
        <v>0</v>
      </c>
      <c r="I301" s="466">
        <v>0</v>
      </c>
      <c r="J301" s="466">
        <v>0</v>
      </c>
      <c r="K301" s="466">
        <v>0</v>
      </c>
      <c r="L301" s="466">
        <v>0</v>
      </c>
      <c r="M301" s="466">
        <v>98364.212986145882</v>
      </c>
      <c r="N301" s="466">
        <v>116278.58454348189</v>
      </c>
      <c r="O301" s="466">
        <v>110607.57803371725</v>
      </c>
    </row>
    <row r="302" spans="1:15" ht="15.75" x14ac:dyDescent="0.25">
      <c r="A302" s="419">
        <v>4406</v>
      </c>
      <c r="B302" s="420"/>
      <c r="C302" s="418" t="s">
        <v>123</v>
      </c>
      <c r="D302" s="418" t="s">
        <v>124</v>
      </c>
      <c r="E302" s="466">
        <v>0</v>
      </c>
      <c r="F302" s="466">
        <v>0</v>
      </c>
      <c r="G302" s="466">
        <v>0</v>
      </c>
      <c r="H302" s="466">
        <v>0</v>
      </c>
      <c r="I302" s="466">
        <v>0</v>
      </c>
      <c r="J302" s="466">
        <v>0</v>
      </c>
      <c r="K302" s="466">
        <v>0</v>
      </c>
      <c r="L302" s="466">
        <v>0</v>
      </c>
      <c r="M302" s="466">
        <v>0</v>
      </c>
      <c r="N302" s="466">
        <v>0</v>
      </c>
      <c r="O302" s="466">
        <v>0</v>
      </c>
    </row>
    <row r="303" spans="1:15" ht="15.75" x14ac:dyDescent="0.25">
      <c r="A303" s="419">
        <v>4407</v>
      </c>
      <c r="B303" s="420"/>
      <c r="C303" s="418" t="s">
        <v>121</v>
      </c>
      <c r="D303" s="418" t="s">
        <v>1027</v>
      </c>
      <c r="E303" s="466">
        <v>0</v>
      </c>
      <c r="F303" s="466">
        <v>0</v>
      </c>
      <c r="G303" s="466">
        <v>0</v>
      </c>
      <c r="H303" s="466">
        <v>0</v>
      </c>
      <c r="I303" s="466">
        <v>0</v>
      </c>
      <c r="J303" s="466">
        <v>0</v>
      </c>
      <c r="K303" s="466">
        <v>0</v>
      </c>
      <c r="L303" s="466">
        <v>0</v>
      </c>
      <c r="M303" s="466">
        <v>0</v>
      </c>
      <c r="N303" s="466">
        <v>0</v>
      </c>
      <c r="O303" s="466">
        <v>0</v>
      </c>
    </row>
    <row r="304" spans="1:15" ht="15.75" x14ac:dyDescent="0.25">
      <c r="A304" s="419">
        <v>4408</v>
      </c>
      <c r="B304" s="420"/>
      <c r="C304" s="418" t="s">
        <v>895</v>
      </c>
      <c r="D304" s="418" t="s">
        <v>629</v>
      </c>
      <c r="E304" s="466">
        <v>0</v>
      </c>
      <c r="F304" s="466">
        <v>0</v>
      </c>
      <c r="G304" s="466">
        <v>0</v>
      </c>
      <c r="H304" s="466">
        <v>0</v>
      </c>
      <c r="I304" s="466">
        <v>0</v>
      </c>
      <c r="J304" s="466">
        <v>0</v>
      </c>
      <c r="K304" s="466">
        <v>0</v>
      </c>
      <c r="L304" s="466">
        <v>0</v>
      </c>
      <c r="M304" s="466">
        <v>0</v>
      </c>
      <c r="N304" s="466">
        <v>0</v>
      </c>
      <c r="O304" s="466">
        <v>0</v>
      </c>
    </row>
    <row r="305" spans="1:15" ht="15.75" x14ac:dyDescent="0.25">
      <c r="A305" s="419">
        <v>4409</v>
      </c>
      <c r="B305" s="420"/>
      <c r="C305" s="418" t="s">
        <v>205</v>
      </c>
      <c r="D305" s="418" t="s">
        <v>424</v>
      </c>
      <c r="E305" s="466">
        <v>0</v>
      </c>
      <c r="F305" s="466">
        <v>0</v>
      </c>
      <c r="G305" s="466">
        <v>0</v>
      </c>
      <c r="H305" s="466">
        <v>0</v>
      </c>
      <c r="I305" s="466">
        <v>0</v>
      </c>
      <c r="J305" s="466">
        <v>0</v>
      </c>
      <c r="K305" s="466">
        <v>0</v>
      </c>
      <c r="L305" s="466">
        <v>0</v>
      </c>
      <c r="M305" s="466">
        <v>0</v>
      </c>
      <c r="N305" s="466">
        <v>0</v>
      </c>
      <c r="O305" s="466">
        <v>0</v>
      </c>
    </row>
    <row r="306" spans="1:15" x14ac:dyDescent="0.2">
      <c r="A306" s="436"/>
      <c r="B306" s="437"/>
      <c r="C306" s="421" t="s">
        <v>1028</v>
      </c>
      <c r="D306" s="421" t="s">
        <v>1028</v>
      </c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</row>
    <row r="307" spans="1:15" ht="18" x14ac:dyDescent="0.25">
      <c r="A307" s="461">
        <v>441</v>
      </c>
      <c r="B307" s="462"/>
      <c r="C307" s="463" t="s">
        <v>425</v>
      </c>
      <c r="D307" s="463" t="s">
        <v>126</v>
      </c>
      <c r="E307" s="474">
        <f>SUM(E308:E312)</f>
        <v>1250371.3904189619</v>
      </c>
      <c r="F307" s="474">
        <f>SUM(F308:F312)</f>
        <v>1543803.2048072112</v>
      </c>
      <c r="G307" s="474">
        <f>SUM(G308:G312)</f>
        <v>3211976.2977800034</v>
      </c>
      <c r="H307" s="474">
        <f>SUM(H308:H312)</f>
        <v>5181296.9454181269</v>
      </c>
      <c r="I307" s="474">
        <f t="shared" ref="I307:O307" si="59">SUM(I308:I313)</f>
        <v>4150375.5633450178</v>
      </c>
      <c r="J307" s="474">
        <f t="shared" si="59"/>
        <v>8521695.0425638463</v>
      </c>
      <c r="K307" s="474">
        <f t="shared" si="59"/>
        <v>23307757.469537638</v>
      </c>
      <c r="L307" s="474">
        <f t="shared" si="59"/>
        <v>17872579.702887669</v>
      </c>
      <c r="M307" s="474">
        <f t="shared" si="59"/>
        <v>12664.830579202137</v>
      </c>
      <c r="N307" s="474">
        <f t="shared" si="59"/>
        <v>502174.09447504592</v>
      </c>
      <c r="O307" s="474">
        <f t="shared" si="59"/>
        <v>0</v>
      </c>
    </row>
    <row r="308" spans="1:15" ht="15.75" x14ac:dyDescent="0.25">
      <c r="A308" s="419">
        <v>4410</v>
      </c>
      <c r="B308" s="420"/>
      <c r="C308" s="418" t="s">
        <v>630</v>
      </c>
      <c r="D308" s="418" t="s">
        <v>426</v>
      </c>
      <c r="E308" s="466">
        <v>1250371.3904189619</v>
      </c>
      <c r="F308" s="466">
        <v>1318156.4012685698</v>
      </c>
      <c r="G308" s="466">
        <v>2845555.8337506261</v>
      </c>
      <c r="H308" s="466">
        <v>3853747.2875980637</v>
      </c>
      <c r="I308" s="466">
        <v>3366787.6815222837</v>
      </c>
      <c r="J308" s="466">
        <v>4868869.9716241034</v>
      </c>
      <c r="K308" s="466">
        <v>20356601.569020197</v>
      </c>
      <c r="L308" s="466">
        <v>13389096.144216327</v>
      </c>
      <c r="M308" s="466">
        <v>12226.673343348355</v>
      </c>
      <c r="N308" s="466">
        <v>0</v>
      </c>
      <c r="O308" s="466">
        <v>0</v>
      </c>
    </row>
    <row r="309" spans="1:15" ht="15.75" x14ac:dyDescent="0.25">
      <c r="A309" s="419">
        <v>4411</v>
      </c>
      <c r="B309" s="420"/>
      <c r="C309" s="418" t="s">
        <v>703</v>
      </c>
      <c r="D309" s="418" t="s">
        <v>704</v>
      </c>
      <c r="E309" s="466">
        <v>0</v>
      </c>
      <c r="F309" s="466">
        <v>0</v>
      </c>
      <c r="G309" s="466">
        <v>0</v>
      </c>
      <c r="H309" s="466">
        <v>0</v>
      </c>
      <c r="I309" s="466">
        <v>0</v>
      </c>
      <c r="J309" s="466">
        <v>0</v>
      </c>
      <c r="K309" s="466">
        <v>0</v>
      </c>
      <c r="L309" s="466">
        <v>501151.72759138711</v>
      </c>
      <c r="M309" s="466">
        <v>0</v>
      </c>
      <c r="N309" s="466">
        <v>0</v>
      </c>
      <c r="O309" s="466">
        <v>0</v>
      </c>
    </row>
    <row r="310" spans="1:15" ht="15.75" x14ac:dyDescent="0.25">
      <c r="A310" s="419">
        <v>4412</v>
      </c>
      <c r="B310" s="420"/>
      <c r="C310" s="418" t="s">
        <v>705</v>
      </c>
      <c r="D310" s="418" t="s">
        <v>427</v>
      </c>
      <c r="E310" s="466">
        <v>0</v>
      </c>
      <c r="F310" s="466">
        <v>0</v>
      </c>
      <c r="G310" s="466">
        <v>0</v>
      </c>
      <c r="H310" s="466">
        <v>0</v>
      </c>
      <c r="I310" s="466">
        <v>0</v>
      </c>
      <c r="J310" s="466">
        <v>2712401.93623769</v>
      </c>
      <c r="K310" s="466">
        <v>1669170.4223001171</v>
      </c>
      <c r="L310" s="466">
        <v>2265005.8420964782</v>
      </c>
      <c r="M310" s="466">
        <v>0</v>
      </c>
      <c r="N310" s="466">
        <v>502174.09447504592</v>
      </c>
      <c r="O310" s="466">
        <v>0</v>
      </c>
    </row>
    <row r="311" spans="1:15" ht="15.75" x14ac:dyDescent="0.25">
      <c r="A311" s="419">
        <v>4413</v>
      </c>
      <c r="B311" s="420"/>
      <c r="C311" s="418" t="s">
        <v>707</v>
      </c>
      <c r="D311" s="418" t="s">
        <v>428</v>
      </c>
      <c r="E311" s="466">
        <v>0</v>
      </c>
      <c r="F311" s="466">
        <v>0</v>
      </c>
      <c r="G311" s="466">
        <v>0</v>
      </c>
      <c r="H311" s="466">
        <v>0</v>
      </c>
      <c r="I311" s="466">
        <v>0</v>
      </c>
      <c r="J311" s="466">
        <v>0</v>
      </c>
      <c r="K311" s="466">
        <v>0</v>
      </c>
      <c r="L311" s="466">
        <v>487848.43932565517</v>
      </c>
      <c r="M311" s="466">
        <v>438.15723585378072</v>
      </c>
      <c r="N311" s="466">
        <v>0</v>
      </c>
      <c r="O311" s="466">
        <v>0</v>
      </c>
    </row>
    <row r="312" spans="1:15" ht="15.75" x14ac:dyDescent="0.25">
      <c r="A312" s="419">
        <v>4414</v>
      </c>
      <c r="B312" s="420"/>
      <c r="C312" s="418" t="s">
        <v>709</v>
      </c>
      <c r="D312" s="418" t="s">
        <v>429</v>
      </c>
      <c r="E312" s="466">
        <v>0</v>
      </c>
      <c r="F312" s="466">
        <v>225646.80353864131</v>
      </c>
      <c r="G312" s="466">
        <v>366420.46402937738</v>
      </c>
      <c r="H312" s="466">
        <v>1327549.6578200634</v>
      </c>
      <c r="I312" s="466">
        <v>783587.88182273414</v>
      </c>
      <c r="J312" s="466">
        <v>940423.13470205315</v>
      </c>
      <c r="K312" s="466">
        <v>1281985.4782173261</v>
      </c>
      <c r="L312" s="466">
        <v>1229477.5496578203</v>
      </c>
      <c r="M312" s="466">
        <v>0</v>
      </c>
      <c r="N312" s="466">
        <v>0</v>
      </c>
      <c r="O312" s="466">
        <v>0</v>
      </c>
    </row>
    <row r="313" spans="1:15" ht="15.75" x14ac:dyDescent="0.25">
      <c r="A313" s="419">
        <v>4415</v>
      </c>
      <c r="B313" s="420"/>
      <c r="C313" s="418" t="s">
        <v>835</v>
      </c>
      <c r="D313" s="418" t="s">
        <v>430</v>
      </c>
      <c r="E313" s="466"/>
      <c r="F313" s="466"/>
      <c r="G313" s="466"/>
      <c r="H313" s="466"/>
      <c r="I313" s="466">
        <v>0</v>
      </c>
      <c r="J313" s="466">
        <v>0</v>
      </c>
      <c r="K313" s="466">
        <v>0</v>
      </c>
      <c r="L313" s="466">
        <v>0</v>
      </c>
      <c r="M313" s="466">
        <v>0</v>
      </c>
      <c r="N313" s="466">
        <v>0</v>
      </c>
      <c r="O313" s="466">
        <v>0</v>
      </c>
    </row>
    <row r="314" spans="1:15" x14ac:dyDescent="0.2">
      <c r="A314" s="436"/>
      <c r="B314" s="437"/>
      <c r="C314" s="421"/>
      <c r="D314" s="421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</row>
    <row r="315" spans="1:15" ht="18" x14ac:dyDescent="0.25">
      <c r="A315" s="461">
        <v>442</v>
      </c>
      <c r="B315" s="462"/>
      <c r="C315" s="463" t="s">
        <v>711</v>
      </c>
      <c r="D315" s="463" t="s">
        <v>431</v>
      </c>
      <c r="E315" s="474">
        <f t="shared" ref="E315:O315" si="60">E316+E317+E318</f>
        <v>0</v>
      </c>
      <c r="F315" s="474">
        <f t="shared" si="60"/>
        <v>0</v>
      </c>
      <c r="G315" s="474">
        <f t="shared" si="60"/>
        <v>0</v>
      </c>
      <c r="H315" s="474">
        <f t="shared" si="60"/>
        <v>20340039.225504927</v>
      </c>
      <c r="I315" s="474">
        <f t="shared" si="60"/>
        <v>45753246.536471374</v>
      </c>
      <c r="J315" s="474">
        <f t="shared" si="60"/>
        <v>54945885.494909033</v>
      </c>
      <c r="K315" s="474">
        <f t="shared" si="60"/>
        <v>56943452.679018527</v>
      </c>
      <c r="L315" s="474">
        <f t="shared" si="60"/>
        <v>31833752.295109332</v>
      </c>
      <c r="M315" s="474">
        <f t="shared" si="60"/>
        <v>0</v>
      </c>
      <c r="N315" s="474">
        <f t="shared" si="60"/>
        <v>4619429.1437155735</v>
      </c>
      <c r="O315" s="474">
        <f t="shared" si="60"/>
        <v>3485941.7950258725</v>
      </c>
    </row>
    <row r="316" spans="1:15" ht="15.75" x14ac:dyDescent="0.25">
      <c r="A316" s="419">
        <v>4420</v>
      </c>
      <c r="B316" s="420"/>
      <c r="C316" s="418" t="s">
        <v>713</v>
      </c>
      <c r="D316" s="418" t="s">
        <v>432</v>
      </c>
      <c r="E316" s="466">
        <v>0</v>
      </c>
      <c r="F316" s="466">
        <v>0</v>
      </c>
      <c r="G316" s="466">
        <v>0</v>
      </c>
      <c r="H316" s="466">
        <v>0</v>
      </c>
      <c r="I316" s="466">
        <v>14938720.580871308</v>
      </c>
      <c r="J316" s="466">
        <v>12556468.035386413</v>
      </c>
      <c r="K316" s="466">
        <v>10521507.260891337</v>
      </c>
      <c r="L316" s="466">
        <v>6758802.3702219995</v>
      </c>
      <c r="M316" s="466">
        <v>0</v>
      </c>
      <c r="N316" s="466">
        <v>0</v>
      </c>
      <c r="O316" s="466">
        <v>0</v>
      </c>
    </row>
    <row r="317" spans="1:15" ht="15.75" x14ac:dyDescent="0.25">
      <c r="A317" s="419">
        <v>4421</v>
      </c>
      <c r="B317" s="420"/>
      <c r="C317" s="418" t="s">
        <v>715</v>
      </c>
      <c r="D317" s="418" t="s">
        <v>433</v>
      </c>
      <c r="E317" s="466">
        <v>0</v>
      </c>
      <c r="F317" s="466">
        <v>0</v>
      </c>
      <c r="G317" s="466">
        <v>0</v>
      </c>
      <c r="H317" s="466">
        <v>20340039.225504927</v>
      </c>
      <c r="I317" s="466">
        <v>30814525.955600068</v>
      </c>
      <c r="J317" s="466">
        <v>42389417.45952262</v>
      </c>
      <c r="K317" s="466">
        <v>46421945.418127194</v>
      </c>
      <c r="L317" s="466">
        <v>22571194.291437156</v>
      </c>
      <c r="M317" s="466">
        <v>0</v>
      </c>
      <c r="N317" s="466">
        <v>4619429.1437155735</v>
      </c>
      <c r="O317" s="466">
        <v>1816771.3727257554</v>
      </c>
    </row>
    <row r="318" spans="1:15" ht="15.75" x14ac:dyDescent="0.25">
      <c r="A318" s="419">
        <v>4422</v>
      </c>
      <c r="B318" s="420"/>
      <c r="C318" s="418" t="s">
        <v>824</v>
      </c>
      <c r="D318" s="418" t="s">
        <v>434</v>
      </c>
      <c r="E318" s="466">
        <v>0</v>
      </c>
      <c r="F318" s="466">
        <v>0</v>
      </c>
      <c r="G318" s="466">
        <v>0</v>
      </c>
      <c r="H318" s="466">
        <v>0</v>
      </c>
      <c r="I318" s="466">
        <v>0</v>
      </c>
      <c r="J318" s="466">
        <v>0</v>
      </c>
      <c r="K318" s="466">
        <v>0</v>
      </c>
      <c r="L318" s="466">
        <v>2503755.6334501756</v>
      </c>
      <c r="M318" s="466">
        <v>0</v>
      </c>
      <c r="N318" s="466">
        <v>0</v>
      </c>
      <c r="O318" s="466">
        <v>1669170.4223001171</v>
      </c>
    </row>
    <row r="319" spans="1:15" x14ac:dyDescent="0.2">
      <c r="A319" s="436"/>
      <c r="B319" s="437"/>
      <c r="C319" s="421" t="s">
        <v>1028</v>
      </c>
      <c r="D319" s="421" t="s">
        <v>1028</v>
      </c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</row>
    <row r="320" spans="1:15" ht="18" x14ac:dyDescent="0.25">
      <c r="A320" s="461">
        <v>443</v>
      </c>
      <c r="B320" s="462"/>
      <c r="C320" s="463" t="s">
        <v>435</v>
      </c>
      <c r="D320" s="463" t="s">
        <v>436</v>
      </c>
      <c r="E320" s="474">
        <f t="shared" ref="E320:O320" si="61">E321</f>
        <v>0</v>
      </c>
      <c r="F320" s="474">
        <f t="shared" si="61"/>
        <v>0</v>
      </c>
      <c r="G320" s="474">
        <f t="shared" si="61"/>
        <v>0</v>
      </c>
      <c r="H320" s="474">
        <f t="shared" si="61"/>
        <v>0</v>
      </c>
      <c r="I320" s="474">
        <f t="shared" si="61"/>
        <v>0</v>
      </c>
      <c r="J320" s="474">
        <f t="shared" si="61"/>
        <v>0</v>
      </c>
      <c r="K320" s="474">
        <f t="shared" si="61"/>
        <v>0</v>
      </c>
      <c r="L320" s="474">
        <f t="shared" si="61"/>
        <v>0</v>
      </c>
      <c r="M320" s="474">
        <f t="shared" si="61"/>
        <v>0</v>
      </c>
      <c r="N320" s="474">
        <f t="shared" si="61"/>
        <v>0</v>
      </c>
      <c r="O320" s="474">
        <f t="shared" si="61"/>
        <v>0</v>
      </c>
    </row>
    <row r="321" spans="1:15" ht="15.75" x14ac:dyDescent="0.25">
      <c r="A321" s="419">
        <v>4430</v>
      </c>
      <c r="B321" s="420"/>
      <c r="C321" s="418" t="s">
        <v>879</v>
      </c>
      <c r="D321" s="418" t="s">
        <v>437</v>
      </c>
      <c r="E321" s="466">
        <v>0</v>
      </c>
      <c r="F321" s="466">
        <v>0</v>
      </c>
      <c r="G321" s="466">
        <v>0</v>
      </c>
      <c r="H321" s="466">
        <v>0</v>
      </c>
      <c r="I321" s="466">
        <v>0</v>
      </c>
      <c r="J321" s="466">
        <v>0</v>
      </c>
      <c r="K321" s="466">
        <v>0</v>
      </c>
      <c r="L321" s="466">
        <v>0</v>
      </c>
      <c r="M321" s="466">
        <v>0</v>
      </c>
      <c r="N321" s="466">
        <v>0</v>
      </c>
      <c r="O321" s="466">
        <v>0</v>
      </c>
    </row>
    <row r="322" spans="1:15" ht="15.75" x14ac:dyDescent="0.25">
      <c r="A322" s="419">
        <v>4431</v>
      </c>
      <c r="B322" s="420"/>
      <c r="C322" s="418" t="s">
        <v>648</v>
      </c>
      <c r="D322" s="418" t="s">
        <v>649</v>
      </c>
      <c r="E322" s="466"/>
      <c r="F322" s="466"/>
      <c r="G322" s="466"/>
      <c r="H322" s="466"/>
      <c r="I322" s="466"/>
      <c r="J322" s="466"/>
      <c r="K322" s="466"/>
      <c r="L322" s="466"/>
      <c r="M322" s="466"/>
      <c r="N322" s="466"/>
      <c r="O322" s="466"/>
    </row>
    <row r="323" spans="1:15" ht="15.75" thickBot="1" x14ac:dyDescent="0.25">
      <c r="A323" s="436"/>
      <c r="B323" s="437"/>
      <c r="C323" s="421"/>
      <c r="D323" s="421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</row>
    <row r="324" spans="1:15" ht="15.75" thickTop="1" x14ac:dyDescent="0.2">
      <c r="A324" s="496"/>
      <c r="B324" s="497"/>
      <c r="C324" s="498"/>
      <c r="D324" s="498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2"/>
    </row>
    <row r="325" spans="1:15" ht="20.25" x14ac:dyDescent="0.3">
      <c r="A325" s="499"/>
      <c r="B325" s="500" t="s">
        <v>717</v>
      </c>
      <c r="C325" s="501" t="s">
        <v>135</v>
      </c>
      <c r="D325" s="501" t="s">
        <v>136</v>
      </c>
      <c r="E325" s="556">
        <f t="shared" ref="E325:O325" si="62">E268-E293</f>
        <v>-38801556.501418792</v>
      </c>
      <c r="F325" s="556">
        <f t="shared" si="62"/>
        <v>-16876873.643799029</v>
      </c>
      <c r="G325" s="556">
        <f t="shared" si="62"/>
        <v>-17388653.814054415</v>
      </c>
      <c r="H325" s="556">
        <f t="shared" si="62"/>
        <v>9465222.834251374</v>
      </c>
      <c r="I325" s="556">
        <f t="shared" si="62"/>
        <v>-11898602.06977132</v>
      </c>
      <c r="J325" s="556">
        <f t="shared" si="62"/>
        <v>-1267830.9130362123</v>
      </c>
      <c r="K325" s="556">
        <f t="shared" si="62"/>
        <v>16313332.498748139</v>
      </c>
      <c r="L325" s="556">
        <f t="shared" si="62"/>
        <v>-5037535.4698714614</v>
      </c>
      <c r="M325" s="556">
        <f t="shared" si="62"/>
        <v>-2894861.3824069435</v>
      </c>
      <c r="N325" s="556">
        <f t="shared" si="62"/>
        <v>-5768522.9640293783</v>
      </c>
      <c r="O325" s="556">
        <f t="shared" si="62"/>
        <v>-4245101.8725588387</v>
      </c>
    </row>
    <row r="326" spans="1:15" ht="20.25" x14ac:dyDescent="0.3">
      <c r="A326" s="499"/>
      <c r="B326" s="500"/>
      <c r="C326" s="501" t="s">
        <v>720</v>
      </c>
      <c r="D326" s="501" t="s">
        <v>720</v>
      </c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</row>
    <row r="327" spans="1:15" ht="15.75" thickBot="1" x14ac:dyDescent="0.25">
      <c r="A327" s="502"/>
      <c r="B327" s="503"/>
      <c r="C327" s="504"/>
      <c r="D327" s="504"/>
      <c r="E327" s="563"/>
      <c r="F327" s="563"/>
      <c r="G327" s="563"/>
      <c r="H327" s="563"/>
      <c r="I327" s="563"/>
      <c r="J327" s="563"/>
      <c r="K327" s="563"/>
      <c r="L327" s="563"/>
      <c r="M327" s="563"/>
      <c r="N327" s="563"/>
      <c r="O327" s="563"/>
    </row>
    <row r="328" spans="1:15" ht="15.75" thickTop="1" x14ac:dyDescent="0.2">
      <c r="A328" s="440"/>
      <c r="B328" s="439"/>
      <c r="C328" s="440"/>
      <c r="D328" s="440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</row>
    <row r="329" spans="1:15" x14ac:dyDescent="0.2">
      <c r="A329" s="440"/>
      <c r="B329" s="439"/>
      <c r="C329" s="440"/>
      <c r="D329" s="440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</row>
    <row r="330" spans="1:15" ht="20.25" x14ac:dyDescent="0.3">
      <c r="A330" s="569"/>
      <c r="B330" s="472" t="s">
        <v>791</v>
      </c>
      <c r="C330" s="577" t="s">
        <v>81</v>
      </c>
      <c r="D330" s="577" t="s">
        <v>861</v>
      </c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1"/>
    </row>
    <row r="331" spans="1:15" ht="20.25" x14ac:dyDescent="0.3">
      <c r="A331" s="471"/>
      <c r="B331" s="472"/>
      <c r="C331" s="471"/>
      <c r="D331" s="47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1"/>
    </row>
    <row r="332" spans="1:15" ht="15.75" thickBot="1" x14ac:dyDescent="0.25">
      <c r="A332" s="440"/>
      <c r="B332" s="439"/>
      <c r="C332" s="440"/>
      <c r="D332" s="440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</row>
    <row r="333" spans="1:15" ht="15.75" thickTop="1" x14ac:dyDescent="0.2">
      <c r="A333" s="495"/>
      <c r="B333" s="449"/>
      <c r="C333" s="549"/>
      <c r="D333" s="549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</row>
    <row r="334" spans="1:15" ht="20.25" x14ac:dyDescent="0.3">
      <c r="A334" s="467">
        <v>50</v>
      </c>
      <c r="B334" s="468" t="s">
        <v>722</v>
      </c>
      <c r="C334" s="469" t="s">
        <v>152</v>
      </c>
      <c r="D334" s="469" t="s">
        <v>153</v>
      </c>
      <c r="E334" s="551">
        <f t="shared" ref="E334:O334" si="63">E336+E344</f>
        <v>23476952.929394092</v>
      </c>
      <c r="F334" s="551">
        <f t="shared" si="63"/>
        <v>71756355.366382897</v>
      </c>
      <c r="G334" s="551">
        <f t="shared" si="63"/>
        <v>65018281.589050248</v>
      </c>
      <c r="H334" s="551">
        <f t="shared" si="63"/>
        <v>81815886.329494238</v>
      </c>
      <c r="I334" s="551">
        <f t="shared" si="63"/>
        <v>190263566.18260726</v>
      </c>
      <c r="J334" s="551">
        <f t="shared" si="63"/>
        <v>273723038.7247538</v>
      </c>
      <c r="K334" s="551">
        <f t="shared" si="63"/>
        <v>486243264.89734608</v>
      </c>
      <c r="L334" s="551">
        <f t="shared" si="63"/>
        <v>515945000.83458525</v>
      </c>
      <c r="M334" s="551">
        <f t="shared" si="63"/>
        <v>71189390.148556173</v>
      </c>
      <c r="N334" s="551">
        <f t="shared" si="63"/>
        <v>89535318.010181949</v>
      </c>
      <c r="O334" s="551">
        <f t="shared" si="63"/>
        <v>340971661.88357538</v>
      </c>
    </row>
    <row r="335" spans="1:15" x14ac:dyDescent="0.2">
      <c r="A335" s="436"/>
      <c r="B335" s="437"/>
      <c r="C335" s="421" t="s">
        <v>1028</v>
      </c>
      <c r="D335" s="421" t="s">
        <v>1028</v>
      </c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</row>
    <row r="336" spans="1:15" ht="18" x14ac:dyDescent="0.25">
      <c r="A336" s="461">
        <v>500</v>
      </c>
      <c r="B336" s="462"/>
      <c r="C336" s="463" t="s">
        <v>732</v>
      </c>
      <c r="D336" s="463" t="s">
        <v>733</v>
      </c>
      <c r="E336" s="474">
        <f t="shared" ref="E336:O336" si="64">SUM(E338:E342)</f>
        <v>11436392.088132199</v>
      </c>
      <c r="F336" s="474">
        <f t="shared" si="64"/>
        <v>17656326.155900516</v>
      </c>
      <c r="G336" s="474">
        <f t="shared" si="64"/>
        <v>6170384.7437823405</v>
      </c>
      <c r="H336" s="474">
        <f t="shared" si="64"/>
        <v>3181292.7724920716</v>
      </c>
      <c r="I336" s="474">
        <f t="shared" si="64"/>
        <v>5974887.3309964947</v>
      </c>
      <c r="J336" s="474">
        <f t="shared" si="64"/>
        <v>110112527.12401937</v>
      </c>
      <c r="K336" s="474">
        <f t="shared" si="64"/>
        <v>300601322.81755972</v>
      </c>
      <c r="L336" s="474">
        <f t="shared" si="64"/>
        <v>198999219.66282761</v>
      </c>
      <c r="M336" s="474">
        <f t="shared" si="64"/>
        <v>71189390.148556173</v>
      </c>
      <c r="N336" s="474">
        <f t="shared" si="64"/>
        <v>37253372.8442664</v>
      </c>
      <c r="O336" s="474">
        <f t="shared" si="64"/>
        <v>4276621.9503004514</v>
      </c>
    </row>
    <row r="337" spans="1:15" x14ac:dyDescent="0.2">
      <c r="A337" s="436"/>
      <c r="B337" s="437"/>
      <c r="C337" s="421" t="s">
        <v>1028</v>
      </c>
      <c r="D337" s="421" t="s">
        <v>1028</v>
      </c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</row>
    <row r="338" spans="1:15" ht="15.75" x14ac:dyDescent="0.25">
      <c r="A338" s="419">
        <v>5000</v>
      </c>
      <c r="B338" s="420"/>
      <c r="C338" s="418" t="s">
        <v>634</v>
      </c>
      <c r="D338" s="418" t="s">
        <v>438</v>
      </c>
      <c r="E338" s="466">
        <v>0</v>
      </c>
      <c r="F338" s="466">
        <v>0</v>
      </c>
      <c r="G338" s="466">
        <v>0</v>
      </c>
      <c r="H338" s="466">
        <v>0</v>
      </c>
      <c r="I338" s="466">
        <v>0</v>
      </c>
      <c r="J338" s="466">
        <v>0</v>
      </c>
      <c r="K338" s="466">
        <v>0</v>
      </c>
      <c r="L338" s="466">
        <v>0</v>
      </c>
      <c r="M338" s="466">
        <v>0</v>
      </c>
      <c r="N338" s="466">
        <v>0</v>
      </c>
      <c r="O338" s="466">
        <v>0</v>
      </c>
    </row>
    <row r="339" spans="1:15" ht="15.75" x14ac:dyDescent="0.25">
      <c r="A339" s="419">
        <v>5001</v>
      </c>
      <c r="B339" s="420"/>
      <c r="C339" s="418" t="s">
        <v>736</v>
      </c>
      <c r="D339" s="418" t="s">
        <v>737</v>
      </c>
      <c r="E339" s="466">
        <v>2304702.8876648303</v>
      </c>
      <c r="F339" s="466">
        <v>6219120.3471874474</v>
      </c>
      <c r="G339" s="466">
        <v>5021277.7499582712</v>
      </c>
      <c r="H339" s="466">
        <v>2068611.2502086463</v>
      </c>
      <c r="I339" s="466">
        <v>5694228.8432648974</v>
      </c>
      <c r="J339" s="466">
        <v>43094550.158571191</v>
      </c>
      <c r="K339" s="466">
        <v>154446098.31413791</v>
      </c>
      <c r="L339" s="466">
        <v>136434464.19629446</v>
      </c>
      <c r="M339" s="466">
        <v>30295691.266900349</v>
      </c>
      <c r="N339" s="466">
        <v>485930.01335336338</v>
      </c>
      <c r="O339" s="466">
        <v>1561090.3195209482</v>
      </c>
    </row>
    <row r="340" spans="1:15" ht="15.75" x14ac:dyDescent="0.25">
      <c r="A340" s="419">
        <v>5002</v>
      </c>
      <c r="B340" s="420"/>
      <c r="C340" s="418" t="s">
        <v>738</v>
      </c>
      <c r="D340" s="418" t="s">
        <v>739</v>
      </c>
      <c r="E340" s="466">
        <v>0</v>
      </c>
      <c r="F340" s="466">
        <v>0</v>
      </c>
      <c r="G340" s="466">
        <v>0</v>
      </c>
      <c r="H340" s="466">
        <v>0</v>
      </c>
      <c r="I340" s="466">
        <v>0</v>
      </c>
      <c r="J340" s="466">
        <v>0</v>
      </c>
      <c r="K340" s="466">
        <v>0</v>
      </c>
      <c r="L340" s="466">
        <v>350525.78868302453</v>
      </c>
      <c r="M340" s="466">
        <v>0</v>
      </c>
      <c r="N340" s="466">
        <v>20864.630278751461</v>
      </c>
      <c r="O340" s="466">
        <v>0</v>
      </c>
    </row>
    <row r="341" spans="1:15" ht="15.75" x14ac:dyDescent="0.25">
      <c r="A341" s="419">
        <v>5003</v>
      </c>
      <c r="B341" s="420"/>
      <c r="C341" s="418" t="s">
        <v>740</v>
      </c>
      <c r="D341" s="418" t="s">
        <v>439</v>
      </c>
      <c r="E341" s="466">
        <v>1498915.0392255052</v>
      </c>
      <c r="F341" s="466">
        <v>4829619.4291437156</v>
      </c>
      <c r="G341" s="466">
        <v>0</v>
      </c>
      <c r="H341" s="466">
        <v>0</v>
      </c>
      <c r="I341" s="466">
        <v>0</v>
      </c>
      <c r="J341" s="466">
        <v>25283758.971791018</v>
      </c>
      <c r="K341" s="466">
        <v>7586379.5693540312</v>
      </c>
      <c r="L341" s="466">
        <v>25901347.85511601</v>
      </c>
      <c r="M341" s="466">
        <v>207669.83809046907</v>
      </c>
      <c r="N341" s="466">
        <v>-3129.6945418127193</v>
      </c>
      <c r="O341" s="466">
        <v>3129.6945418127193</v>
      </c>
    </row>
    <row r="342" spans="1:15" ht="15.75" x14ac:dyDescent="0.25">
      <c r="A342" s="419">
        <v>5004</v>
      </c>
      <c r="B342" s="420"/>
      <c r="C342" s="418" t="s">
        <v>635</v>
      </c>
      <c r="D342" s="418" t="s">
        <v>440</v>
      </c>
      <c r="E342" s="466">
        <v>7632774.1612418629</v>
      </c>
      <c r="F342" s="466">
        <v>6607586.3795693535</v>
      </c>
      <c r="G342" s="466">
        <v>1149106.9938240696</v>
      </c>
      <c r="H342" s="466">
        <v>1112681.5222834253</v>
      </c>
      <c r="I342" s="466">
        <v>280658.48773159739</v>
      </c>
      <c r="J342" s="466">
        <v>41734217.993657157</v>
      </c>
      <c r="K342" s="466">
        <v>138568844.93406779</v>
      </c>
      <c r="L342" s="466">
        <v>36312881.822734103</v>
      </c>
      <c r="M342" s="466">
        <v>40686029.043565348</v>
      </c>
      <c r="N342" s="466">
        <v>36749707.895176098</v>
      </c>
      <c r="O342" s="466">
        <v>2712401.93623769</v>
      </c>
    </row>
    <row r="343" spans="1:15" x14ac:dyDescent="0.2">
      <c r="A343" s="436"/>
      <c r="B343" s="437"/>
      <c r="C343" s="421" t="s">
        <v>1028</v>
      </c>
      <c r="D343" s="421" t="s">
        <v>1028</v>
      </c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</row>
    <row r="344" spans="1:15" ht="18" x14ac:dyDescent="0.25">
      <c r="A344" s="461">
        <v>501</v>
      </c>
      <c r="B344" s="462"/>
      <c r="C344" s="463" t="s">
        <v>746</v>
      </c>
      <c r="D344" s="463" t="s">
        <v>747</v>
      </c>
      <c r="E344" s="474">
        <f t="shared" ref="E344:O344" si="65">SUM(E346:E350)</f>
        <v>12040560.841261894</v>
      </c>
      <c r="F344" s="474">
        <f t="shared" si="65"/>
        <v>54100029.210482389</v>
      </c>
      <c r="G344" s="474">
        <f t="shared" si="65"/>
        <v>58847896.845267907</v>
      </c>
      <c r="H344" s="474">
        <f t="shared" si="65"/>
        <v>78634593.557002172</v>
      </c>
      <c r="I344" s="474">
        <f t="shared" si="65"/>
        <v>184288678.85161078</v>
      </c>
      <c r="J344" s="474">
        <f t="shared" si="65"/>
        <v>163610511.60073444</v>
      </c>
      <c r="K344" s="474">
        <f t="shared" si="65"/>
        <v>185641942.07978636</v>
      </c>
      <c r="L344" s="474">
        <f t="shared" si="65"/>
        <v>316945781.17175764</v>
      </c>
      <c r="M344" s="474">
        <f t="shared" si="65"/>
        <v>0</v>
      </c>
      <c r="N344" s="474">
        <f t="shared" si="65"/>
        <v>52281945.165915549</v>
      </c>
      <c r="O344" s="474">
        <f t="shared" si="65"/>
        <v>336695039.93327492</v>
      </c>
    </row>
    <row r="345" spans="1:15" x14ac:dyDescent="0.2">
      <c r="A345" s="436"/>
      <c r="B345" s="437"/>
      <c r="C345" s="421" t="s">
        <v>1028</v>
      </c>
      <c r="D345" s="421" t="s">
        <v>1028</v>
      </c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</row>
    <row r="346" spans="1:15" ht="15.75" x14ac:dyDescent="0.25">
      <c r="A346" s="419">
        <v>5010</v>
      </c>
      <c r="B346" s="420"/>
      <c r="C346" s="418" t="s">
        <v>748</v>
      </c>
      <c r="D346" s="418" t="s">
        <v>749</v>
      </c>
      <c r="E346" s="466">
        <v>12040560.841261894</v>
      </c>
      <c r="F346" s="466">
        <v>8490055.9172091465</v>
      </c>
      <c r="G346" s="466">
        <v>0</v>
      </c>
      <c r="H346" s="466">
        <v>0</v>
      </c>
      <c r="I346" s="466">
        <v>0</v>
      </c>
      <c r="J346" s="466">
        <v>0</v>
      </c>
      <c r="K346" s="466">
        <v>73662435.31964615</v>
      </c>
      <c r="L346" s="466">
        <v>12744579.369053582</v>
      </c>
      <c r="M346" s="466">
        <v>0</v>
      </c>
      <c r="N346" s="466">
        <v>52281945.165915549</v>
      </c>
      <c r="O346" s="466">
        <v>552325.86216825235</v>
      </c>
    </row>
    <row r="347" spans="1:15" ht="15.75" x14ac:dyDescent="0.25">
      <c r="A347" s="419">
        <v>5011</v>
      </c>
      <c r="B347" s="420"/>
      <c r="C347" s="418" t="s">
        <v>750</v>
      </c>
      <c r="D347" s="418" t="s">
        <v>636</v>
      </c>
      <c r="E347" s="466">
        <v>0</v>
      </c>
      <c r="F347" s="466">
        <v>0</v>
      </c>
      <c r="G347" s="466">
        <v>0</v>
      </c>
      <c r="H347" s="466">
        <v>0</v>
      </c>
      <c r="I347" s="466">
        <v>0</v>
      </c>
      <c r="J347" s="466">
        <v>2232982.8075446505</v>
      </c>
      <c r="K347" s="466">
        <v>0</v>
      </c>
      <c r="L347" s="466">
        <v>2654423.3016190957</v>
      </c>
      <c r="M347" s="466">
        <v>0</v>
      </c>
      <c r="N347" s="466">
        <v>0</v>
      </c>
      <c r="O347" s="466">
        <v>0</v>
      </c>
    </row>
    <row r="348" spans="1:15" ht="15.75" x14ac:dyDescent="0.25">
      <c r="A348" s="419">
        <v>5012</v>
      </c>
      <c r="B348" s="420"/>
      <c r="C348" s="418" t="s">
        <v>637</v>
      </c>
      <c r="D348" s="418" t="s">
        <v>753</v>
      </c>
      <c r="E348" s="466">
        <v>0</v>
      </c>
      <c r="F348" s="466">
        <v>45609973.29327324</v>
      </c>
      <c r="G348" s="466">
        <v>58847896.845267907</v>
      </c>
      <c r="H348" s="466">
        <v>78634593.557002172</v>
      </c>
      <c r="I348" s="466">
        <v>5731259.3890836257</v>
      </c>
      <c r="J348" s="466">
        <v>9807657.3193123024</v>
      </c>
      <c r="K348" s="466">
        <v>0</v>
      </c>
      <c r="L348" s="466">
        <v>0</v>
      </c>
      <c r="M348" s="466">
        <v>0</v>
      </c>
      <c r="N348" s="466">
        <v>0</v>
      </c>
      <c r="O348" s="466">
        <v>0</v>
      </c>
    </row>
    <row r="349" spans="1:15" ht="15.75" x14ac:dyDescent="0.25">
      <c r="A349" s="419">
        <v>5013</v>
      </c>
      <c r="B349" s="420"/>
      <c r="C349" s="418" t="s">
        <v>754</v>
      </c>
      <c r="D349" s="418" t="s">
        <v>441</v>
      </c>
      <c r="E349" s="466">
        <v>0</v>
      </c>
      <c r="F349" s="466">
        <v>0</v>
      </c>
      <c r="G349" s="466">
        <v>0</v>
      </c>
      <c r="H349" s="466">
        <v>0</v>
      </c>
      <c r="I349" s="466">
        <v>0</v>
      </c>
      <c r="J349" s="466">
        <v>0</v>
      </c>
      <c r="K349" s="466">
        <v>0</v>
      </c>
      <c r="L349" s="466">
        <v>121753.46352862628</v>
      </c>
      <c r="M349" s="466">
        <v>0</v>
      </c>
      <c r="N349" s="466">
        <v>0</v>
      </c>
      <c r="O349" s="466">
        <v>0</v>
      </c>
    </row>
    <row r="350" spans="1:15" ht="15.75" x14ac:dyDescent="0.25">
      <c r="A350" s="419">
        <v>5014</v>
      </c>
      <c r="B350" s="420"/>
      <c r="C350" s="418" t="s">
        <v>638</v>
      </c>
      <c r="D350" s="418" t="s">
        <v>442</v>
      </c>
      <c r="E350" s="466">
        <v>0</v>
      </c>
      <c r="F350" s="466">
        <v>0</v>
      </c>
      <c r="G350" s="466">
        <v>0</v>
      </c>
      <c r="H350" s="466">
        <v>0</v>
      </c>
      <c r="I350" s="466">
        <v>178557419.46252716</v>
      </c>
      <c r="J350" s="466">
        <v>151569871.47387749</v>
      </c>
      <c r="K350" s="466">
        <v>111979506.76014021</v>
      </c>
      <c r="L350" s="466">
        <v>301425025.03755635</v>
      </c>
      <c r="M350" s="466">
        <v>0</v>
      </c>
      <c r="N350" s="466">
        <v>0</v>
      </c>
      <c r="O350" s="466">
        <v>336142714.07110667</v>
      </c>
    </row>
    <row r="351" spans="1:15" ht="15.75" thickBot="1" x14ac:dyDescent="0.25">
      <c r="A351" s="454"/>
      <c r="B351" s="455"/>
      <c r="C351" s="456" t="s">
        <v>1028</v>
      </c>
      <c r="D351" s="456" t="s">
        <v>1028</v>
      </c>
      <c r="E351" s="552"/>
      <c r="F351" s="552"/>
      <c r="G351" s="552"/>
      <c r="H351" s="552"/>
      <c r="I351" s="552"/>
      <c r="J351" s="552"/>
      <c r="K351" s="552"/>
      <c r="L351" s="552"/>
      <c r="M351" s="552"/>
      <c r="N351" s="552"/>
      <c r="O351" s="552"/>
    </row>
    <row r="352" spans="1:15" ht="15.75" thickTop="1" x14ac:dyDescent="0.2">
      <c r="A352" s="451"/>
      <c r="B352" s="452"/>
      <c r="C352" s="453" t="s">
        <v>1028</v>
      </c>
      <c r="D352" s="453" t="s">
        <v>1028</v>
      </c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</row>
    <row r="353" spans="1:15" ht="20.25" x14ac:dyDescent="0.3">
      <c r="A353" s="467">
        <v>55</v>
      </c>
      <c r="B353" s="468" t="s">
        <v>801</v>
      </c>
      <c r="C353" s="469" t="s">
        <v>154</v>
      </c>
      <c r="D353" s="469" t="s">
        <v>155</v>
      </c>
      <c r="E353" s="551">
        <f t="shared" ref="E353:O353" si="66">E355+E363</f>
        <v>32511554.832248375</v>
      </c>
      <c r="F353" s="551">
        <f t="shared" si="66"/>
        <v>47120722.750792861</v>
      </c>
      <c r="G353" s="551">
        <f t="shared" si="66"/>
        <v>73226460.524119526</v>
      </c>
      <c r="H353" s="551">
        <f t="shared" si="66"/>
        <v>104681626.60657655</v>
      </c>
      <c r="I353" s="551">
        <f t="shared" si="66"/>
        <v>143663657.98698047</v>
      </c>
      <c r="J353" s="551">
        <f t="shared" si="66"/>
        <v>140380199.46586549</v>
      </c>
      <c r="K353" s="551">
        <f t="shared" si="66"/>
        <v>337442597.22917712</v>
      </c>
      <c r="L353" s="551">
        <f t="shared" si="66"/>
        <v>336112840.09347361</v>
      </c>
      <c r="M353" s="551">
        <f t="shared" si="66"/>
        <v>78843940.845142722</v>
      </c>
      <c r="N353" s="551">
        <f t="shared" si="66"/>
        <v>19368829.947588049</v>
      </c>
      <c r="O353" s="551">
        <f t="shared" si="66"/>
        <v>21019056.131864466</v>
      </c>
    </row>
    <row r="354" spans="1:15" x14ac:dyDescent="0.2">
      <c r="A354" s="436"/>
      <c r="B354" s="437"/>
      <c r="C354" s="421" t="s">
        <v>1028</v>
      </c>
      <c r="D354" s="421" t="s">
        <v>1028</v>
      </c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</row>
    <row r="355" spans="1:15" ht="18" x14ac:dyDescent="0.25">
      <c r="A355" s="461">
        <v>550</v>
      </c>
      <c r="B355" s="462"/>
      <c r="C355" s="463" t="s">
        <v>443</v>
      </c>
      <c r="D355" s="463" t="s">
        <v>761</v>
      </c>
      <c r="E355" s="474">
        <f t="shared" ref="E355:O355" si="67">SUM(E357:E361)</f>
        <v>23992108.996828578</v>
      </c>
      <c r="F355" s="474">
        <f t="shared" si="67"/>
        <v>28387305.958938412</v>
      </c>
      <c r="G355" s="474">
        <f t="shared" si="67"/>
        <v>37587823.401769325</v>
      </c>
      <c r="H355" s="474">
        <f t="shared" si="67"/>
        <v>52232031.380403951</v>
      </c>
      <c r="I355" s="474">
        <f t="shared" si="67"/>
        <v>55770998.163912535</v>
      </c>
      <c r="J355" s="474">
        <f t="shared" si="67"/>
        <v>60639434.151226848</v>
      </c>
      <c r="K355" s="474">
        <f t="shared" si="67"/>
        <v>199029385.74528462</v>
      </c>
      <c r="L355" s="474">
        <f t="shared" si="67"/>
        <v>275260933.06626612</v>
      </c>
      <c r="M355" s="474">
        <f t="shared" si="67"/>
        <v>71924139.46173428</v>
      </c>
      <c r="N355" s="474">
        <f t="shared" si="67"/>
        <v>16400410.023869138</v>
      </c>
      <c r="O355" s="474">
        <f t="shared" si="67"/>
        <v>15361649.667376066</v>
      </c>
    </row>
    <row r="356" spans="1:15" x14ac:dyDescent="0.2">
      <c r="A356" s="436"/>
      <c r="B356" s="437"/>
      <c r="C356" s="421" t="s">
        <v>1028</v>
      </c>
      <c r="D356" s="421" t="s">
        <v>1028</v>
      </c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</row>
    <row r="357" spans="1:15" ht="15.75" x14ac:dyDescent="0.25">
      <c r="A357" s="419">
        <v>5500</v>
      </c>
      <c r="B357" s="420"/>
      <c r="C357" s="418" t="s">
        <v>762</v>
      </c>
      <c r="D357" s="418" t="s">
        <v>444</v>
      </c>
      <c r="E357" s="466">
        <v>0</v>
      </c>
      <c r="F357" s="466">
        <v>0</v>
      </c>
      <c r="G357" s="466">
        <v>0</v>
      </c>
      <c r="H357" s="466">
        <v>0</v>
      </c>
      <c r="I357" s="466">
        <v>0</v>
      </c>
      <c r="J357" s="466">
        <v>0</v>
      </c>
      <c r="K357" s="466">
        <v>0</v>
      </c>
      <c r="L357" s="466">
        <v>0</v>
      </c>
      <c r="M357" s="466">
        <v>0</v>
      </c>
      <c r="N357" s="466">
        <v>0</v>
      </c>
      <c r="O357" s="466">
        <v>0</v>
      </c>
    </row>
    <row r="358" spans="1:15" ht="15.75" x14ac:dyDescent="0.25">
      <c r="A358" s="419">
        <v>5501</v>
      </c>
      <c r="B358" s="420"/>
      <c r="C358" s="418" t="s">
        <v>764</v>
      </c>
      <c r="D358" s="418" t="s">
        <v>765</v>
      </c>
      <c r="E358" s="466">
        <v>23992108.996828578</v>
      </c>
      <c r="F358" s="466">
        <v>10831885.32799199</v>
      </c>
      <c r="G358" s="466">
        <v>12379556.835252881</v>
      </c>
      <c r="H358" s="466">
        <v>16981964.613587052</v>
      </c>
      <c r="I358" s="466">
        <v>17536396.261058256</v>
      </c>
      <c r="J358" s="466">
        <v>30318206.476381242</v>
      </c>
      <c r="K358" s="466">
        <v>74963011.183441833</v>
      </c>
      <c r="L358" s="466">
        <v>139943811.55065933</v>
      </c>
      <c r="M358" s="466">
        <v>40531878.56847772</v>
      </c>
      <c r="N358" s="466">
        <v>3545332.9250125196</v>
      </c>
      <c r="O358" s="466">
        <v>1534658.1842346855</v>
      </c>
    </row>
    <row r="359" spans="1:15" ht="15.75" x14ac:dyDescent="0.25">
      <c r="A359" s="419">
        <v>5502</v>
      </c>
      <c r="B359" s="420"/>
      <c r="C359" s="418" t="s">
        <v>766</v>
      </c>
      <c r="D359" s="418" t="s">
        <v>767</v>
      </c>
      <c r="E359" s="466">
        <v>0</v>
      </c>
      <c r="F359" s="466">
        <v>0</v>
      </c>
      <c r="G359" s="466">
        <v>0</v>
      </c>
      <c r="H359" s="466">
        <v>0</v>
      </c>
      <c r="I359" s="466">
        <v>0</v>
      </c>
      <c r="J359" s="466">
        <v>0</v>
      </c>
      <c r="K359" s="466">
        <v>0</v>
      </c>
      <c r="L359" s="466">
        <v>356605.74194625276</v>
      </c>
      <c r="M359" s="466">
        <v>1986.3128025371393</v>
      </c>
      <c r="N359" s="466">
        <v>20864.630278751461</v>
      </c>
      <c r="O359" s="466">
        <v>4485.8955099315635</v>
      </c>
    </row>
    <row r="360" spans="1:15" ht="15.75" x14ac:dyDescent="0.25">
      <c r="A360" s="419">
        <v>5503</v>
      </c>
      <c r="B360" s="420"/>
      <c r="C360" s="418" t="s">
        <v>772</v>
      </c>
      <c r="D360" s="418" t="s">
        <v>445</v>
      </c>
      <c r="E360" s="466">
        <v>0</v>
      </c>
      <c r="F360" s="466">
        <v>0</v>
      </c>
      <c r="G360" s="466">
        <v>0</v>
      </c>
      <c r="H360" s="466">
        <v>2401272.7424470042</v>
      </c>
      <c r="I360" s="466">
        <v>1267517.9435820398</v>
      </c>
      <c r="J360" s="466">
        <v>1891441.3286596562</v>
      </c>
      <c r="K360" s="466">
        <v>18567593.056251045</v>
      </c>
      <c r="L360" s="466">
        <v>2438257.3860791191</v>
      </c>
      <c r="M360" s="466">
        <v>15636876.147554668</v>
      </c>
      <c r="N360" s="466">
        <v>299582.707394425</v>
      </c>
      <c r="O360" s="466">
        <v>-967568.10632615595</v>
      </c>
    </row>
    <row r="361" spans="1:15" ht="15.75" x14ac:dyDescent="0.25">
      <c r="A361" s="419">
        <v>5504</v>
      </c>
      <c r="B361" s="420"/>
      <c r="C361" s="418" t="s">
        <v>862</v>
      </c>
      <c r="D361" s="418" t="s">
        <v>446</v>
      </c>
      <c r="E361" s="466">
        <v>0</v>
      </c>
      <c r="F361" s="466">
        <v>17555420.63094642</v>
      </c>
      <c r="G361" s="466">
        <v>25208266.566516444</v>
      </c>
      <c r="H361" s="466">
        <v>32848794.024369892</v>
      </c>
      <c r="I361" s="466">
        <v>36967083.959272243</v>
      </c>
      <c r="J361" s="466">
        <v>28429786.346185949</v>
      </c>
      <c r="K361" s="466">
        <v>105498781.50559174</v>
      </c>
      <c r="L361" s="466">
        <v>132522258.38758139</v>
      </c>
      <c r="M361" s="466">
        <v>15753398.43289935</v>
      </c>
      <c r="N361" s="466">
        <v>12534629.761183443</v>
      </c>
      <c r="O361" s="466">
        <v>14790073.693957604</v>
      </c>
    </row>
    <row r="362" spans="1:15" x14ac:dyDescent="0.2">
      <c r="A362" s="436"/>
      <c r="B362" s="437"/>
      <c r="C362" s="421" t="s">
        <v>1028</v>
      </c>
      <c r="D362" s="421" t="s">
        <v>1028</v>
      </c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</row>
    <row r="363" spans="1:15" ht="18" x14ac:dyDescent="0.25">
      <c r="A363" s="461">
        <v>551</v>
      </c>
      <c r="B363" s="462"/>
      <c r="C363" s="463" t="s">
        <v>777</v>
      </c>
      <c r="D363" s="463" t="s">
        <v>778</v>
      </c>
      <c r="E363" s="474">
        <f t="shared" ref="E363:O363" si="68">SUM(E365:E369)</f>
        <v>8519445.8354197964</v>
      </c>
      <c r="F363" s="474">
        <f t="shared" si="68"/>
        <v>18733416.791854452</v>
      </c>
      <c r="G363" s="474">
        <f t="shared" si="68"/>
        <v>35638637.122350194</v>
      </c>
      <c r="H363" s="474">
        <f t="shared" si="68"/>
        <v>52449595.226172596</v>
      </c>
      <c r="I363" s="474">
        <f t="shared" si="68"/>
        <v>87892659.823067933</v>
      </c>
      <c r="J363" s="474">
        <f t="shared" si="68"/>
        <v>79740765.31463863</v>
      </c>
      <c r="K363" s="474">
        <f t="shared" si="68"/>
        <v>138413211.48389253</v>
      </c>
      <c r="L363" s="474">
        <f t="shared" si="68"/>
        <v>60851907.027207486</v>
      </c>
      <c r="M363" s="474">
        <f t="shared" si="68"/>
        <v>6919801.3834084459</v>
      </c>
      <c r="N363" s="474">
        <f t="shared" si="68"/>
        <v>2968419.9237189121</v>
      </c>
      <c r="O363" s="474">
        <f t="shared" si="68"/>
        <v>5657406.4644884001</v>
      </c>
    </row>
    <row r="364" spans="1:15" x14ac:dyDescent="0.2">
      <c r="A364" s="436"/>
      <c r="B364" s="437"/>
      <c r="C364" s="421" t="s">
        <v>1028</v>
      </c>
      <c r="D364" s="421" t="s">
        <v>1028</v>
      </c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</row>
    <row r="365" spans="1:15" ht="15.75" x14ac:dyDescent="0.25">
      <c r="A365" s="419">
        <v>5510</v>
      </c>
      <c r="B365" s="420"/>
      <c r="C365" s="418" t="s">
        <v>779</v>
      </c>
      <c r="D365" s="418" t="s">
        <v>447</v>
      </c>
      <c r="E365" s="466">
        <v>6373364.2129861461</v>
      </c>
      <c r="F365" s="466">
        <v>0</v>
      </c>
      <c r="G365" s="466">
        <v>13354552.662326826</v>
      </c>
      <c r="H365" s="466">
        <v>8519358.2039726265</v>
      </c>
      <c r="I365" s="466">
        <v>14885812.05141045</v>
      </c>
      <c r="J365" s="466">
        <v>15882974.46169254</v>
      </c>
      <c r="K365" s="466">
        <v>13485353.029544318</v>
      </c>
      <c r="L365" s="466">
        <v>19086049.90819563</v>
      </c>
      <c r="M365" s="466">
        <v>2763065.6289016856</v>
      </c>
      <c r="N365" s="466">
        <v>2968419.9237189121</v>
      </c>
      <c r="O365" s="466">
        <v>5105080.6023201477</v>
      </c>
    </row>
    <row r="366" spans="1:15" ht="15.75" x14ac:dyDescent="0.25">
      <c r="A366" s="419">
        <v>5511</v>
      </c>
      <c r="B366" s="420"/>
      <c r="C366" s="418" t="s">
        <v>639</v>
      </c>
      <c r="D366" s="418" t="s">
        <v>448</v>
      </c>
      <c r="E366" s="466">
        <v>0</v>
      </c>
      <c r="F366" s="466">
        <v>0</v>
      </c>
      <c r="G366" s="466">
        <v>5804235.5199465863</v>
      </c>
      <c r="H366" s="466">
        <v>23696932.899349023</v>
      </c>
      <c r="I366" s="466">
        <v>43627608.078784846</v>
      </c>
      <c r="J366" s="466">
        <v>33035983.141378738</v>
      </c>
      <c r="K366" s="466">
        <v>83691925.388082132</v>
      </c>
      <c r="L366" s="466">
        <v>15892547.15406443</v>
      </c>
      <c r="M366" s="466">
        <v>4156735.7545067607</v>
      </c>
      <c r="N366" s="466">
        <v>0</v>
      </c>
      <c r="O366" s="466">
        <v>0</v>
      </c>
    </row>
    <row r="367" spans="1:15" ht="15.75" x14ac:dyDescent="0.25">
      <c r="A367" s="419">
        <v>5512</v>
      </c>
      <c r="B367" s="420"/>
      <c r="C367" s="418" t="s">
        <v>640</v>
      </c>
      <c r="D367" s="418" t="s">
        <v>449</v>
      </c>
      <c r="E367" s="466">
        <v>2146081.6224336503</v>
      </c>
      <c r="F367" s="466">
        <v>18135603.405107666</v>
      </c>
      <c r="G367" s="466">
        <v>15315443.999332333</v>
      </c>
      <c r="H367" s="466">
        <v>20233304.122850943</v>
      </c>
      <c r="I367" s="466">
        <v>20816324.486730095</v>
      </c>
      <c r="J367" s="466">
        <v>22349557.669838089</v>
      </c>
      <c r="K367" s="466">
        <v>14919354.031046571</v>
      </c>
      <c r="L367" s="466">
        <v>18342046.40293774</v>
      </c>
      <c r="M367" s="466">
        <v>0</v>
      </c>
      <c r="N367" s="466">
        <v>0</v>
      </c>
      <c r="O367" s="466">
        <v>552325.86216825235</v>
      </c>
    </row>
    <row r="368" spans="1:15" ht="15.75" x14ac:dyDescent="0.25">
      <c r="A368" s="419">
        <v>5513</v>
      </c>
      <c r="B368" s="420"/>
      <c r="C368" s="441" t="s">
        <v>785</v>
      </c>
      <c r="D368" s="441" t="s">
        <v>450</v>
      </c>
      <c r="E368" s="466">
        <v>0</v>
      </c>
      <c r="F368" s="466">
        <v>597813.38674678688</v>
      </c>
      <c r="G368" s="466">
        <v>1164404.9407444501</v>
      </c>
      <c r="H368" s="466">
        <v>0</v>
      </c>
      <c r="I368" s="466">
        <v>8562915.2061425485</v>
      </c>
      <c r="J368" s="466">
        <v>8472250.0417292621</v>
      </c>
      <c r="K368" s="466">
        <v>26316579.035219498</v>
      </c>
      <c r="L368" s="466">
        <v>7531263.5620096819</v>
      </c>
      <c r="M368" s="466">
        <v>0</v>
      </c>
      <c r="N368" s="466">
        <v>0</v>
      </c>
      <c r="O368" s="466">
        <v>0</v>
      </c>
    </row>
    <row r="369" spans="1:15" ht="15.75" x14ac:dyDescent="0.25">
      <c r="A369" s="419">
        <v>5514</v>
      </c>
      <c r="B369" s="420"/>
      <c r="C369" s="418" t="s">
        <v>836</v>
      </c>
      <c r="D369" s="418" t="s">
        <v>451</v>
      </c>
      <c r="E369" s="466">
        <v>0</v>
      </c>
      <c r="F369" s="466">
        <v>0</v>
      </c>
      <c r="G369" s="466">
        <v>0</v>
      </c>
      <c r="H369" s="466">
        <v>0</v>
      </c>
      <c r="I369" s="466">
        <v>0</v>
      </c>
      <c r="J369" s="466">
        <v>0</v>
      </c>
      <c r="K369" s="466">
        <v>0</v>
      </c>
      <c r="L369" s="466">
        <v>0</v>
      </c>
      <c r="M369" s="466">
        <v>0</v>
      </c>
      <c r="N369" s="466">
        <v>0</v>
      </c>
      <c r="O369" s="466">
        <v>0</v>
      </c>
    </row>
    <row r="370" spans="1:15" ht="15.75" thickBot="1" x14ac:dyDescent="0.25">
      <c r="A370" s="436"/>
      <c r="B370" s="437"/>
      <c r="C370" s="421"/>
      <c r="D370" s="421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</row>
    <row r="371" spans="1:15" ht="15.75" thickTop="1" x14ac:dyDescent="0.2">
      <c r="A371" s="478"/>
      <c r="B371" s="479"/>
      <c r="C371" s="480"/>
      <c r="D371" s="480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4"/>
    </row>
    <row r="372" spans="1:15" ht="20.25" x14ac:dyDescent="0.3">
      <c r="A372" s="481"/>
      <c r="B372" s="482" t="s">
        <v>803</v>
      </c>
      <c r="C372" s="483" t="s">
        <v>129</v>
      </c>
      <c r="D372" s="483" t="s">
        <v>130</v>
      </c>
      <c r="E372" s="565">
        <f t="shared" ref="E372:O372" si="69">E334-E353</f>
        <v>-9034601.9028542824</v>
      </c>
      <c r="F372" s="565">
        <f t="shared" si="69"/>
        <v>24635632.615590036</v>
      </c>
      <c r="G372" s="565">
        <f t="shared" si="69"/>
        <v>-8208178.9350692779</v>
      </c>
      <c r="H372" s="565">
        <f t="shared" si="69"/>
        <v>-22865740.277082309</v>
      </c>
      <c r="I372" s="565">
        <f t="shared" si="69"/>
        <v>46599908.195626795</v>
      </c>
      <c r="J372" s="565">
        <f t="shared" si="69"/>
        <v>133342839.2588883</v>
      </c>
      <c r="K372" s="565">
        <f t="shared" si="69"/>
        <v>148800667.66816896</v>
      </c>
      <c r="L372" s="565">
        <f t="shared" si="69"/>
        <v>179832160.74111164</v>
      </c>
      <c r="M372" s="565">
        <f t="shared" si="69"/>
        <v>-7654550.6965865493</v>
      </c>
      <c r="N372" s="565">
        <f t="shared" si="69"/>
        <v>70166488.062593907</v>
      </c>
      <c r="O372" s="565">
        <f t="shared" si="69"/>
        <v>319952605.75171089</v>
      </c>
    </row>
    <row r="373" spans="1:15" ht="20.25" x14ac:dyDescent="0.3">
      <c r="A373" s="481"/>
      <c r="B373" s="482"/>
      <c r="C373" s="483" t="s">
        <v>131</v>
      </c>
      <c r="D373" s="483" t="s">
        <v>131</v>
      </c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</row>
    <row r="374" spans="1:15" ht="21" thickBot="1" x14ac:dyDescent="0.35">
      <c r="A374" s="484"/>
      <c r="B374" s="485"/>
      <c r="C374" s="486"/>
      <c r="D374" s="486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</row>
    <row r="375" spans="1:15" ht="21" thickTop="1" x14ac:dyDescent="0.3">
      <c r="A375" s="487"/>
      <c r="B375" s="488"/>
      <c r="C375" s="489"/>
      <c r="D375" s="489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6"/>
    </row>
    <row r="376" spans="1:15" ht="20.25" x14ac:dyDescent="0.3">
      <c r="A376" s="481"/>
      <c r="B376" s="482" t="s">
        <v>787</v>
      </c>
      <c r="C376" s="483" t="s">
        <v>132</v>
      </c>
      <c r="D376" s="483" t="s">
        <v>790</v>
      </c>
      <c r="E376" s="565">
        <f t="shared" ref="E376:O376" si="70">E19+E268+E334-E140-E293-E353</f>
        <v>4065348.0220331252</v>
      </c>
      <c r="F376" s="565">
        <f t="shared" si="70"/>
        <v>60053300.784509525</v>
      </c>
      <c r="G376" s="565">
        <f t="shared" si="70"/>
        <v>-24738111.333667137</v>
      </c>
      <c r="H376" s="565">
        <f t="shared" si="70"/>
        <v>-9591303.6220995188</v>
      </c>
      <c r="I376" s="565">
        <f t="shared" si="70"/>
        <v>69042860.123519748</v>
      </c>
      <c r="J376" s="565">
        <f t="shared" si="70"/>
        <v>-10142330.161909372</v>
      </c>
      <c r="K376" s="565">
        <f t="shared" si="70"/>
        <v>58322633.950927436</v>
      </c>
      <c r="L376" s="565">
        <f t="shared" si="70"/>
        <v>77579412.034718692</v>
      </c>
      <c r="M376" s="565">
        <f t="shared" si="70"/>
        <v>-120691368.13925037</v>
      </c>
      <c r="N376" s="565">
        <f t="shared" si="70"/>
        <v>41339264.444875769</v>
      </c>
      <c r="O376" s="565">
        <f t="shared" si="70"/>
        <v>338095705.235645</v>
      </c>
    </row>
    <row r="377" spans="1:15" ht="20.25" x14ac:dyDescent="0.3">
      <c r="A377" s="481"/>
      <c r="B377" s="482"/>
      <c r="C377" s="483" t="s">
        <v>812</v>
      </c>
      <c r="D377" s="483" t="s">
        <v>812</v>
      </c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</row>
    <row r="378" spans="1:15" ht="21" thickBot="1" x14ac:dyDescent="0.35">
      <c r="A378" s="484"/>
      <c r="B378" s="485"/>
      <c r="C378" s="486"/>
      <c r="D378" s="486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</row>
    <row r="379" spans="1:15" ht="15.75" thickTop="1" x14ac:dyDescent="0.2">
      <c r="A379" s="478"/>
      <c r="B379" s="479"/>
      <c r="C379" s="480"/>
      <c r="D379" s="480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54"/>
    </row>
    <row r="380" spans="1:15" ht="20.25" x14ac:dyDescent="0.3">
      <c r="A380" s="481"/>
      <c r="B380" s="482" t="s">
        <v>788</v>
      </c>
      <c r="C380" s="483" t="s">
        <v>128</v>
      </c>
      <c r="D380" s="483" t="s">
        <v>133</v>
      </c>
      <c r="E380" s="565">
        <f t="shared" ref="E380:O380" si="71">E325+E334-E353-E376</f>
        <v>-51901506.426306203</v>
      </c>
      <c r="F380" s="565">
        <f t="shared" si="71"/>
        <v>-52294541.812718518</v>
      </c>
      <c r="G380" s="565">
        <f t="shared" si="71"/>
        <v>-858721.41545655578</v>
      </c>
      <c r="H380" s="565">
        <f t="shared" si="71"/>
        <v>-3809213.8207314163</v>
      </c>
      <c r="I380" s="565">
        <f t="shared" si="71"/>
        <v>-34341553.997664273</v>
      </c>
      <c r="J380" s="565">
        <f t="shared" si="71"/>
        <v>142217338.50776145</v>
      </c>
      <c r="K380" s="565">
        <f t="shared" si="71"/>
        <v>106791366.21598965</v>
      </c>
      <c r="L380" s="565">
        <f t="shared" si="71"/>
        <v>97215213.236521482</v>
      </c>
      <c r="M380" s="565">
        <f t="shared" si="71"/>
        <v>110141956.06025687</v>
      </c>
      <c r="N380" s="565">
        <f t="shared" si="71"/>
        <v>23058700.653688759</v>
      </c>
      <c r="O380" s="565">
        <f t="shared" si="71"/>
        <v>-22388201.356492937</v>
      </c>
    </row>
    <row r="381" spans="1:15" ht="20.25" x14ac:dyDescent="0.3">
      <c r="A381" s="481"/>
      <c r="B381" s="482"/>
      <c r="C381" s="483" t="s">
        <v>134</v>
      </c>
      <c r="D381" s="483" t="s">
        <v>134</v>
      </c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5"/>
    </row>
    <row r="382" spans="1:15" ht="21" thickBot="1" x14ac:dyDescent="0.35">
      <c r="A382" s="490"/>
      <c r="B382" s="491"/>
      <c r="C382" s="492"/>
      <c r="D382" s="492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7"/>
    </row>
    <row r="383" spans="1:15" ht="15.75" thickTop="1" x14ac:dyDescent="0.2"/>
    <row r="384" spans="1:15" x14ac:dyDescent="0.2">
      <c r="C384" s="445" t="s">
        <v>1020</v>
      </c>
      <c r="D384" s="445" t="s">
        <v>1021</v>
      </c>
    </row>
    <row r="386" spans="3:4" x14ac:dyDescent="0.2">
      <c r="C386" s="585"/>
      <c r="D386" s="585"/>
    </row>
  </sheetData>
  <phoneticPr fontId="0" type="noConversion"/>
  <pageMargins left="0.35" right="0.24" top="0.33" bottom="0.36" header="0.27" footer="0.19"/>
  <pageSetup paperSize="9" scale="10" fitToHeight="0" orientation="portrait" r:id="rId1"/>
  <headerFooter alignWithMargins="0">
    <oddFooter>&amp;CStran &amp;P od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K414"/>
  <sheetViews>
    <sheetView topLeftCell="A10" zoomScale="70" workbookViewId="0">
      <pane xSplit="4" ySplit="10" topLeftCell="E113" activePane="bottomRight" state="frozen"/>
      <selection activeCell="A10" sqref="A10"/>
      <selection pane="topRight" activeCell="E10" sqref="E10"/>
      <selection pane="bottomLeft" activeCell="A20" sqref="A20"/>
      <selection pane="bottomRight" activeCell="J141" sqref="J141"/>
    </sheetView>
  </sheetViews>
  <sheetFormatPr defaultRowHeight="15" x14ac:dyDescent="0.2"/>
  <cols>
    <col min="1" max="1" width="7.33203125" style="417" customWidth="1"/>
    <col min="2" max="2" width="3.21875" style="417" customWidth="1"/>
    <col min="3" max="3" width="53.5546875" style="417" customWidth="1"/>
    <col min="4" max="4" width="0" style="417" hidden="1" customWidth="1"/>
    <col min="5" max="5" width="15.6640625" style="417" customWidth="1"/>
    <col min="6" max="7" width="12.33203125" style="417" customWidth="1"/>
    <col min="8" max="8" width="12.109375" style="417" customWidth="1"/>
    <col min="9" max="9" width="12.21875" style="417" bestFit="1" customWidth="1"/>
    <col min="10" max="10" width="14" style="417" customWidth="1"/>
    <col min="11" max="11" width="7.44140625" style="417" customWidth="1"/>
    <col min="12" max="16384" width="8.88671875" style="416"/>
  </cols>
  <sheetData>
    <row r="1" spans="1:11" s="5" customFormat="1" ht="1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5" customFormat="1" ht="26.25" customHeight="1" x14ac:dyDescent="0.4">
      <c r="A2" s="236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5" customFormat="1" ht="26.25" customHeight="1" x14ac:dyDescent="0.4">
      <c r="A3" s="236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s="5" customFormat="1" ht="26.25" customHeight="1" x14ac:dyDescent="0.4">
      <c r="A4" s="236" t="s">
        <v>826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s="5" customFormat="1" ht="15.7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s="5" customFormat="1" ht="26.25" customHeight="1" x14ac:dyDescent="0.4">
      <c r="A6" s="236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s="5" customFormat="1" ht="26.25" customHeight="1" x14ac:dyDescent="0.4">
      <c r="A7" s="236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s="5" customFormat="1" ht="26.25" customHeight="1" x14ac:dyDescent="0.4">
      <c r="A8" s="236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s="5" customFormat="1" ht="26.25" customHeight="1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s="5" customFormat="1" ht="15.75" customHeight="1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s="5" customFormat="1" ht="23.25" customHeight="1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s="5" customFormat="1" ht="15.75" customHeight="1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s="5" customFormat="1" ht="16.5" customHeight="1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s="5" customFormat="1" ht="16.5" customHeight="1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s="5" customFormat="1" ht="20.25" customHeight="1" x14ac:dyDescent="0.3">
      <c r="A15" s="307"/>
      <c r="B15" s="242"/>
      <c r="C15" s="345"/>
      <c r="D15" s="374"/>
      <c r="E15" s="336" t="s">
        <v>827</v>
      </c>
      <c r="F15" s="337"/>
      <c r="G15" s="337"/>
      <c r="H15" s="337"/>
      <c r="I15" s="337"/>
      <c r="J15" s="340"/>
      <c r="K15" s="277" t="s">
        <v>209</v>
      </c>
    </row>
    <row r="16" spans="1:11" s="5" customFormat="1" ht="15.75" customHeight="1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s="5" customFormat="1" ht="15.75" customHeight="1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s="5" customFormat="1" ht="15.75" customHeight="1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s="5" customFormat="1" ht="16.5" customHeight="1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s="5" customFormat="1" ht="15.75" customHeight="1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s="5" customFormat="1" ht="15.75" customHeight="1" thickBot="1" x14ac:dyDescent="0.25">
      <c r="A21" s="309"/>
      <c r="B21" s="318"/>
      <c r="C21" s="63"/>
      <c r="D21" s="19"/>
      <c r="E21" s="28"/>
      <c r="F21" s="28"/>
      <c r="G21" s="28"/>
      <c r="H21" s="28"/>
      <c r="I21" s="28"/>
      <c r="J21" s="370"/>
      <c r="K21" s="273"/>
    </row>
    <row r="22" spans="1:11" s="5" customFormat="1" ht="17.25" customHeight="1" thickTop="1" thickBot="1" x14ac:dyDescent="0.3">
      <c r="A22" s="13"/>
      <c r="B22" s="18" t="s">
        <v>235</v>
      </c>
      <c r="C22" s="361" t="s">
        <v>236</v>
      </c>
      <c r="D22" s="20" t="s">
        <v>237</v>
      </c>
      <c r="E22" s="30">
        <f>E25+E101+E119+E130</f>
        <v>1021315000</v>
      </c>
      <c r="F22" s="30">
        <f>F25+F101+F119+F130</f>
        <v>206696085</v>
      </c>
      <c r="G22" s="30">
        <f>G25+G101+G119+G130</f>
        <v>572000533</v>
      </c>
      <c r="H22" s="30">
        <f>H25+H101+H119+H130</f>
        <v>258748788</v>
      </c>
      <c r="I22" s="46">
        <f>I25+I101+I119+I130</f>
        <v>321082372</v>
      </c>
      <c r="J22" s="382">
        <f>E22+F22+G22+H22-I22</f>
        <v>1737678034</v>
      </c>
      <c r="K22" s="275">
        <f>J22/J$141*100</f>
        <v>41.153760606517046</v>
      </c>
    </row>
    <row r="23" spans="1:11" s="5" customFormat="1" ht="15.75" customHeight="1" thickTop="1" x14ac:dyDescent="0.25">
      <c r="A23" s="13"/>
      <c r="B23" s="18"/>
      <c r="C23" s="361" t="s">
        <v>238</v>
      </c>
      <c r="D23" s="20" t="s">
        <v>238</v>
      </c>
      <c r="E23" s="30"/>
      <c r="F23" s="30"/>
      <c r="G23" s="30"/>
      <c r="H23" s="30"/>
      <c r="I23" s="30"/>
      <c r="J23" s="377"/>
      <c r="K23" s="274"/>
    </row>
    <row r="24" spans="1:11" s="5" customFormat="1" ht="15" customHeight="1" x14ac:dyDescent="0.2">
      <c r="A24" s="99"/>
      <c r="B24" s="100"/>
      <c r="C24" s="101"/>
      <c r="D24" s="21"/>
      <c r="E24" s="31"/>
      <c r="F24" s="31"/>
      <c r="G24" s="31"/>
      <c r="H24" s="31"/>
      <c r="I24" s="31"/>
      <c r="J24" s="31"/>
      <c r="K24" s="248"/>
    </row>
    <row r="25" spans="1:11" s="5" customFormat="1" ht="15" customHeight="1" x14ac:dyDescent="0.25">
      <c r="A25" s="88"/>
      <c r="B25" s="89"/>
      <c r="C25" s="90" t="s">
        <v>239</v>
      </c>
      <c r="D25" s="22" t="s">
        <v>240</v>
      </c>
      <c r="E25" s="32">
        <f t="shared" ref="E25:J25" si="0">E28+E76</f>
        <v>1007516328</v>
      </c>
      <c r="F25" s="32">
        <f t="shared" si="0"/>
        <v>153544548</v>
      </c>
      <c r="G25" s="32">
        <f t="shared" si="0"/>
        <v>406704664</v>
      </c>
      <c r="H25" s="32">
        <f t="shared" si="0"/>
        <v>212225360</v>
      </c>
      <c r="I25" s="32">
        <f t="shared" si="0"/>
        <v>64925924</v>
      </c>
      <c r="J25" s="32">
        <f t="shared" si="0"/>
        <v>1715064976</v>
      </c>
      <c r="K25" s="245">
        <f>J25/J$141*100</f>
        <v>40.618211237010954</v>
      </c>
    </row>
    <row r="26" spans="1:11" s="5" customFormat="1" ht="15" customHeight="1" x14ac:dyDescent="0.25">
      <c r="A26" s="88"/>
      <c r="B26" s="89"/>
      <c r="C26" s="90" t="s">
        <v>241</v>
      </c>
      <c r="D26" s="22" t="s">
        <v>241</v>
      </c>
      <c r="E26" s="32"/>
      <c r="F26" s="32"/>
      <c r="G26" s="32"/>
      <c r="H26" s="32"/>
      <c r="I26" s="32"/>
      <c r="J26" s="32"/>
      <c r="K26" s="252"/>
    </row>
    <row r="27" spans="1:11" s="5" customFormat="1" ht="15" customHeight="1" x14ac:dyDescent="0.2">
      <c r="A27" s="99"/>
      <c r="B27" s="100"/>
      <c r="C27" s="101"/>
      <c r="D27" s="21"/>
      <c r="E27" s="31"/>
      <c r="F27" s="31"/>
      <c r="G27" s="31"/>
      <c r="H27" s="31"/>
      <c r="I27" s="31"/>
      <c r="J27" s="31"/>
      <c r="K27" s="248"/>
    </row>
    <row r="28" spans="1:11" s="5" customFormat="1" ht="15" customHeight="1" x14ac:dyDescent="0.25">
      <c r="A28" s="88">
        <v>70</v>
      </c>
      <c r="B28" s="89"/>
      <c r="C28" s="90" t="s">
        <v>242</v>
      </c>
      <c r="D28" s="22" t="s">
        <v>243</v>
      </c>
      <c r="E28" s="32">
        <f t="shared" ref="E28:J28" si="1">E31+E36+E42+E46+E52+E64+E73</f>
        <v>958012720</v>
      </c>
      <c r="F28" s="32">
        <f t="shared" si="1"/>
        <v>125161501</v>
      </c>
      <c r="G28" s="32">
        <f t="shared" si="1"/>
        <v>402145537</v>
      </c>
      <c r="H28" s="32">
        <f t="shared" si="1"/>
        <v>208527532</v>
      </c>
      <c r="I28" s="32">
        <f t="shared" si="1"/>
        <v>64925924</v>
      </c>
      <c r="J28" s="32">
        <f t="shared" si="1"/>
        <v>1628921366</v>
      </c>
      <c r="K28" s="245">
        <f>J28/J$141*100</f>
        <v>38.578055676339829</v>
      </c>
    </row>
    <row r="29" spans="1:11" s="5" customFormat="1" ht="15" customHeight="1" x14ac:dyDescent="0.2">
      <c r="A29" s="99"/>
      <c r="B29" s="100"/>
      <c r="C29" s="101" t="s">
        <v>244</v>
      </c>
      <c r="D29" s="21" t="s">
        <v>244</v>
      </c>
      <c r="E29" s="31"/>
      <c r="F29" s="31"/>
      <c r="G29" s="31"/>
      <c r="H29" s="31"/>
      <c r="I29" s="31"/>
      <c r="J29" s="31"/>
      <c r="K29" s="248"/>
    </row>
    <row r="30" spans="1:11" s="5" customFormat="1" ht="15" customHeight="1" x14ac:dyDescent="0.2">
      <c r="A30" s="99"/>
      <c r="B30" s="100"/>
      <c r="C30" s="101"/>
      <c r="D30" s="21"/>
      <c r="E30" s="31"/>
      <c r="F30" s="31"/>
      <c r="G30" s="31"/>
      <c r="H30" s="31"/>
      <c r="I30" s="31"/>
      <c r="J30" s="31"/>
      <c r="K30" s="248"/>
    </row>
    <row r="31" spans="1:11" s="5" customFormat="1" ht="15" customHeight="1" x14ac:dyDescent="0.2">
      <c r="A31" s="99">
        <v>700</v>
      </c>
      <c r="B31" s="100"/>
      <c r="C31" s="101" t="s">
        <v>245</v>
      </c>
      <c r="D31" s="21" t="s">
        <v>246</v>
      </c>
      <c r="E31" s="31">
        <f t="shared" ref="E31:J31" si="2">E32+E33+E34</f>
        <v>216689100</v>
      </c>
      <c r="F31" s="31">
        <f t="shared" si="2"/>
        <v>89156635</v>
      </c>
      <c r="G31" s="31">
        <f t="shared" si="2"/>
        <v>0</v>
      </c>
      <c r="H31" s="31">
        <f t="shared" si="2"/>
        <v>0</v>
      </c>
      <c r="I31" s="31">
        <f t="shared" si="2"/>
        <v>0</v>
      </c>
      <c r="J31" s="31">
        <f t="shared" si="2"/>
        <v>305845735</v>
      </c>
      <c r="K31" s="247">
        <f>J31/J$141*100</f>
        <v>7.243402928758119</v>
      </c>
    </row>
    <row r="32" spans="1:11" s="5" customFormat="1" ht="15" customHeight="1" x14ac:dyDescent="0.2">
      <c r="A32" s="99">
        <v>7000</v>
      </c>
      <c r="B32" s="100"/>
      <c r="C32" s="101" t="s">
        <v>247</v>
      </c>
      <c r="D32" s="21" t="s">
        <v>248</v>
      </c>
      <c r="E32" s="31">
        <v>170349100</v>
      </c>
      <c r="F32" s="31">
        <v>89156635</v>
      </c>
      <c r="G32" s="31">
        <v>0</v>
      </c>
      <c r="H32" s="31">
        <v>0</v>
      </c>
      <c r="I32" s="31">
        <v>0</v>
      </c>
      <c r="J32" s="31">
        <f>E32+F32+G32+H32</f>
        <v>259505735</v>
      </c>
      <c r="K32" s="247">
        <f>J32/J$141*100</f>
        <v>6.1459238623305588</v>
      </c>
    </row>
    <row r="33" spans="1:11" s="5" customFormat="1" ht="15" customHeight="1" x14ac:dyDescent="0.2">
      <c r="A33" s="99">
        <v>7001</v>
      </c>
      <c r="B33" s="100"/>
      <c r="C33" s="101" t="s">
        <v>249</v>
      </c>
      <c r="D33" s="21" t="s">
        <v>250</v>
      </c>
      <c r="E33" s="31">
        <v>46340000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46340000</v>
      </c>
      <c r="K33" s="247">
        <f>J33/J$141*100</f>
        <v>1.0974790664275611</v>
      </c>
    </row>
    <row r="34" spans="1:11" s="5" customFormat="1" ht="15" customHeight="1" x14ac:dyDescent="0.2">
      <c r="A34" s="99">
        <v>7002</v>
      </c>
      <c r="B34" s="100"/>
      <c r="C34" s="101" t="s">
        <v>251</v>
      </c>
      <c r="D34" s="21" t="s">
        <v>252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248"/>
    </row>
    <row r="35" spans="1:11" s="5" customFormat="1" ht="15" customHeight="1" x14ac:dyDescent="0.2">
      <c r="A35" s="99"/>
      <c r="B35" s="100"/>
      <c r="C35" s="101"/>
      <c r="D35" s="21"/>
      <c r="E35" s="31"/>
      <c r="F35" s="31"/>
      <c r="G35" s="31"/>
      <c r="H35" s="31"/>
      <c r="I35" s="31"/>
      <c r="J35" s="31"/>
      <c r="K35" s="248"/>
    </row>
    <row r="36" spans="1:11" s="5" customFormat="1" ht="15" customHeight="1" x14ac:dyDescent="0.2">
      <c r="A36" s="99">
        <v>701</v>
      </c>
      <c r="B36" s="100"/>
      <c r="C36" s="101" t="s">
        <v>253</v>
      </c>
      <c r="D36" s="21" t="s">
        <v>254</v>
      </c>
      <c r="E36" s="31">
        <f t="shared" ref="E36:J36" si="3">SUM(E37:E40)</f>
        <v>6296196</v>
      </c>
      <c r="F36" s="31">
        <f t="shared" si="3"/>
        <v>0</v>
      </c>
      <c r="G36" s="31">
        <f t="shared" si="3"/>
        <v>394076537</v>
      </c>
      <c r="H36" s="31">
        <f t="shared" si="3"/>
        <v>208527532</v>
      </c>
      <c r="I36" s="31">
        <f t="shared" si="3"/>
        <v>64925924</v>
      </c>
      <c r="J36" s="31">
        <f t="shared" si="3"/>
        <v>543974341</v>
      </c>
      <c r="K36" s="247">
        <f>J36/J$141*100</f>
        <v>12.883048164031674</v>
      </c>
    </row>
    <row r="37" spans="1:11" s="5" customFormat="1" ht="15" customHeight="1" x14ac:dyDescent="0.2">
      <c r="A37" s="99">
        <v>7010</v>
      </c>
      <c r="B37" s="100"/>
      <c r="C37" s="101" t="s">
        <v>255</v>
      </c>
      <c r="D37" s="21" t="s">
        <v>256</v>
      </c>
      <c r="E37" s="31">
        <v>3635593</v>
      </c>
      <c r="F37" s="31">
        <v>0</v>
      </c>
      <c r="G37" s="31">
        <v>231713203</v>
      </c>
      <c r="H37" s="31">
        <v>99791108</v>
      </c>
      <c r="I37" s="31"/>
      <c r="J37" s="31">
        <f>E37+F37+G37+H37</f>
        <v>335139904</v>
      </c>
      <c r="K37" s="247">
        <f>J37/J$141*100</f>
        <v>7.9371823255188279</v>
      </c>
    </row>
    <row r="38" spans="1:11" s="5" customFormat="1" ht="15" customHeight="1" x14ac:dyDescent="0.2">
      <c r="A38" s="210">
        <v>7011</v>
      </c>
      <c r="B38" s="319"/>
      <c r="C38" s="357" t="s">
        <v>257</v>
      </c>
      <c r="D38" s="23" t="s">
        <v>258</v>
      </c>
      <c r="E38" s="33">
        <v>2355933</v>
      </c>
      <c r="F38" s="33">
        <v>0</v>
      </c>
      <c r="G38" s="33">
        <v>138697071</v>
      </c>
      <c r="H38" s="33">
        <v>95804453</v>
      </c>
      <c r="I38" s="33">
        <f>E162+F162+G162+H162+E235+F235+G235+H235</f>
        <v>64925924</v>
      </c>
      <c r="J38" s="33">
        <f>E38+F38+G38+H38-I38</f>
        <v>171931533</v>
      </c>
      <c r="K38" s="261">
        <f>J38/J$141*100</f>
        <v>4.0718873182196686</v>
      </c>
    </row>
    <row r="39" spans="1:11" s="5" customFormat="1" ht="15" customHeight="1" x14ac:dyDescent="0.2">
      <c r="A39" s="99">
        <v>7012</v>
      </c>
      <c r="B39" s="100"/>
      <c r="C39" s="101" t="s">
        <v>259</v>
      </c>
      <c r="D39" s="21" t="s">
        <v>260</v>
      </c>
      <c r="E39" s="31">
        <v>297660</v>
      </c>
      <c r="F39" s="31">
        <v>0</v>
      </c>
      <c r="G39" s="31">
        <v>21566263</v>
      </c>
      <c r="H39" s="31">
        <v>11988971</v>
      </c>
      <c r="I39" s="31">
        <v>0</v>
      </c>
      <c r="J39" s="31">
        <f>E39+F39+G39+H39</f>
        <v>33852894</v>
      </c>
      <c r="K39" s="247">
        <f>J39/J$141*100</f>
        <v>0.80174455120826904</v>
      </c>
    </row>
    <row r="40" spans="1:11" s="5" customFormat="1" ht="15" customHeight="1" x14ac:dyDescent="0.2">
      <c r="A40" s="99">
        <v>7013</v>
      </c>
      <c r="B40" s="100"/>
      <c r="C40" s="101" t="s">
        <v>261</v>
      </c>
      <c r="D40" s="21" t="s">
        <v>262</v>
      </c>
      <c r="E40" s="31">
        <v>7010</v>
      </c>
      <c r="F40" s="31">
        <v>0</v>
      </c>
      <c r="G40" s="31">
        <v>2100000</v>
      </c>
      <c r="H40" s="31">
        <v>943000</v>
      </c>
      <c r="I40" s="31"/>
      <c r="J40" s="31">
        <f>E40+F40+G40+H40</f>
        <v>3050010</v>
      </c>
      <c r="K40" s="247">
        <f>J40/J$141*100</f>
        <v>7.2233969084909921E-2</v>
      </c>
    </row>
    <row r="41" spans="1:11" s="5" customFormat="1" ht="15" customHeight="1" x14ac:dyDescent="0.2">
      <c r="A41" s="99"/>
      <c r="B41" s="100"/>
      <c r="C41" s="101"/>
      <c r="D41" s="21"/>
      <c r="E41" s="31"/>
      <c r="F41" s="31"/>
      <c r="G41" s="31"/>
      <c r="H41" s="31"/>
      <c r="I41" s="31"/>
      <c r="J41" s="31"/>
      <c r="K41" s="248"/>
    </row>
    <row r="42" spans="1:11" s="5" customFormat="1" ht="15" customHeight="1" x14ac:dyDescent="0.2">
      <c r="A42" s="99">
        <v>702</v>
      </c>
      <c r="B42" s="100"/>
      <c r="C42" s="101" t="s">
        <v>263</v>
      </c>
      <c r="D42" s="21" t="s">
        <v>264</v>
      </c>
      <c r="E42" s="31">
        <f t="shared" ref="E42:J42" si="4">E43+E44</f>
        <v>63296591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 t="shared" si="4"/>
        <v>0</v>
      </c>
      <c r="J42" s="31">
        <f t="shared" si="4"/>
        <v>63296591</v>
      </c>
      <c r="K42" s="247">
        <f>J42/J$141*100</f>
        <v>1.4990652481382645</v>
      </c>
    </row>
    <row r="43" spans="1:11" s="5" customFormat="1" ht="15" customHeight="1" x14ac:dyDescent="0.2">
      <c r="A43" s="99">
        <v>7020</v>
      </c>
      <c r="B43" s="100"/>
      <c r="C43" s="101" t="s">
        <v>265</v>
      </c>
      <c r="D43" s="21" t="s">
        <v>266</v>
      </c>
      <c r="E43" s="31">
        <v>58997374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58997374</v>
      </c>
      <c r="K43" s="247">
        <f>J43/J$141*100</f>
        <v>1.3972460711954613</v>
      </c>
    </row>
    <row r="44" spans="1:11" s="5" customFormat="1" ht="15" customHeight="1" x14ac:dyDescent="0.2">
      <c r="A44" s="99">
        <v>7021</v>
      </c>
      <c r="B44" s="100"/>
      <c r="C44" s="101" t="s">
        <v>267</v>
      </c>
      <c r="D44" s="21" t="s">
        <v>268</v>
      </c>
      <c r="E44" s="31">
        <v>4299217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4299217</v>
      </c>
      <c r="K44" s="247">
        <f>J44/J$141*100</f>
        <v>0.10181917694280321</v>
      </c>
    </row>
    <row r="45" spans="1:11" s="5" customFormat="1" ht="15" customHeight="1" x14ac:dyDescent="0.2">
      <c r="A45" s="99"/>
      <c r="B45" s="100"/>
      <c r="C45" s="101"/>
      <c r="D45" s="21"/>
      <c r="E45" s="31"/>
      <c r="F45" s="31"/>
      <c r="G45" s="31"/>
      <c r="H45" s="31"/>
      <c r="I45" s="31"/>
      <c r="J45" s="31"/>
      <c r="K45" s="248"/>
    </row>
    <row r="46" spans="1:11" s="5" customFormat="1" ht="15" customHeight="1" x14ac:dyDescent="0.2">
      <c r="A46" s="99">
        <v>703</v>
      </c>
      <c r="B46" s="100"/>
      <c r="C46" s="101" t="s">
        <v>269</v>
      </c>
      <c r="D46" s="21" t="s">
        <v>270</v>
      </c>
      <c r="E46" s="31">
        <f t="shared" ref="E46:J46" si="5">SUM(E47:E50)</f>
        <v>5012800</v>
      </c>
      <c r="F46" s="31">
        <f t="shared" si="5"/>
        <v>27019101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32031901</v>
      </c>
      <c r="K46" s="247">
        <f>J46/J$141*100</f>
        <v>0.75861762635692842</v>
      </c>
    </row>
    <row r="47" spans="1:11" s="5" customFormat="1" ht="15" customHeight="1" x14ac:dyDescent="0.2">
      <c r="A47" s="99">
        <v>7030</v>
      </c>
      <c r="B47" s="100"/>
      <c r="C47" s="101" t="s">
        <v>271</v>
      </c>
      <c r="D47" s="21" t="s">
        <v>272</v>
      </c>
      <c r="E47" s="31">
        <v>0</v>
      </c>
      <c r="F47" s="31">
        <v>19719342</v>
      </c>
      <c r="G47" s="31">
        <v>0</v>
      </c>
      <c r="H47" s="31">
        <v>0</v>
      </c>
      <c r="I47" s="31">
        <v>0</v>
      </c>
      <c r="J47" s="31">
        <f>E47+F47+G47+H47</f>
        <v>19719342</v>
      </c>
      <c r="K47" s="247">
        <f>J47/J$141*100</f>
        <v>0.46701694106011643</v>
      </c>
    </row>
    <row r="48" spans="1:11" s="5" customFormat="1" ht="15" customHeight="1" x14ac:dyDescent="0.2">
      <c r="A48" s="99">
        <v>7031</v>
      </c>
      <c r="B48" s="100"/>
      <c r="C48" s="101" t="s">
        <v>273</v>
      </c>
      <c r="D48" s="21" t="s">
        <v>274</v>
      </c>
      <c r="E48" s="31">
        <v>0</v>
      </c>
      <c r="F48" s="31">
        <v>5559</v>
      </c>
      <c r="G48" s="31">
        <v>0</v>
      </c>
      <c r="H48" s="31">
        <v>0</v>
      </c>
      <c r="I48" s="31">
        <v>0</v>
      </c>
      <c r="J48" s="31">
        <f>E48+F48+G48+H48</f>
        <v>5559</v>
      </c>
      <c r="K48" s="247">
        <f>J48/J$141*100</f>
        <v>1.3165485822768262E-4</v>
      </c>
    </row>
    <row r="49" spans="1:11" s="5" customFormat="1" ht="15" customHeight="1" x14ac:dyDescent="0.2">
      <c r="A49" s="99">
        <v>7032</v>
      </c>
      <c r="B49" s="100"/>
      <c r="C49" s="101" t="s">
        <v>275</v>
      </c>
      <c r="D49" s="21" t="s">
        <v>276</v>
      </c>
      <c r="E49" s="31">
        <v>0</v>
      </c>
      <c r="F49" s="31">
        <v>430635</v>
      </c>
      <c r="G49" s="31">
        <v>0</v>
      </c>
      <c r="H49" s="31">
        <v>0</v>
      </c>
      <c r="I49" s="31">
        <v>0</v>
      </c>
      <c r="J49" s="31">
        <f>E49+F49+G49+H49</f>
        <v>430635</v>
      </c>
      <c r="K49" s="247">
        <f>J49/J$141*100</f>
        <v>1.0198810914351162E-2</v>
      </c>
    </row>
    <row r="50" spans="1:11" s="5" customFormat="1" ht="15" customHeight="1" x14ac:dyDescent="0.2">
      <c r="A50" s="99">
        <v>7033</v>
      </c>
      <c r="B50" s="100"/>
      <c r="C50" s="101" t="s">
        <v>277</v>
      </c>
      <c r="D50" s="21" t="s">
        <v>278</v>
      </c>
      <c r="E50" s="31">
        <v>5012800</v>
      </c>
      <c r="F50" s="31">
        <v>6863565</v>
      </c>
      <c r="G50" s="31">
        <v>0</v>
      </c>
      <c r="H50" s="31">
        <v>0</v>
      </c>
      <c r="I50" s="31">
        <v>0</v>
      </c>
      <c r="J50" s="31">
        <f>E50+F50+G50+H50</f>
        <v>11876365</v>
      </c>
      <c r="K50" s="247">
        <f>J50/J$141*100</f>
        <v>0.28127021952423314</v>
      </c>
    </row>
    <row r="51" spans="1:11" s="5" customFormat="1" ht="15" customHeight="1" x14ac:dyDescent="0.2">
      <c r="A51" s="99"/>
      <c r="B51" s="100"/>
      <c r="C51" s="101"/>
      <c r="D51" s="21"/>
      <c r="E51" s="31"/>
      <c r="F51" s="31"/>
      <c r="G51" s="31"/>
      <c r="H51" s="31"/>
      <c r="I51" s="31"/>
      <c r="J51" s="31"/>
      <c r="K51" s="248"/>
    </row>
    <row r="52" spans="1:11" s="5" customFormat="1" ht="15" customHeight="1" x14ac:dyDescent="0.2">
      <c r="A52" s="99">
        <v>704</v>
      </c>
      <c r="B52" s="100"/>
      <c r="C52" s="101" t="s">
        <v>279</v>
      </c>
      <c r="D52" s="21" t="s">
        <v>280</v>
      </c>
      <c r="E52" s="31">
        <f t="shared" ref="E52:J52" si="6">SUM(E53:E62)</f>
        <v>626211219</v>
      </c>
      <c r="F52" s="31">
        <f t="shared" si="6"/>
        <v>8981728</v>
      </c>
      <c r="G52" s="31">
        <f t="shared" si="6"/>
        <v>0</v>
      </c>
      <c r="H52" s="31">
        <f t="shared" si="6"/>
        <v>0</v>
      </c>
      <c r="I52" s="31">
        <f t="shared" si="6"/>
        <v>0</v>
      </c>
      <c r="J52" s="31">
        <f t="shared" si="6"/>
        <v>635192947</v>
      </c>
      <c r="K52" s="247">
        <f t="shared" ref="K52:K57" si="7">J52/J$141*100</f>
        <v>15.043395823800848</v>
      </c>
    </row>
    <row r="53" spans="1:11" s="5" customFormat="1" ht="15" customHeight="1" x14ac:dyDescent="0.2">
      <c r="A53" s="99">
        <v>7040</v>
      </c>
      <c r="B53" s="100"/>
      <c r="C53" s="101" t="s">
        <v>281</v>
      </c>
      <c r="D53" s="21" t="s">
        <v>452</v>
      </c>
      <c r="E53" s="31">
        <v>432060539</v>
      </c>
      <c r="F53" s="31">
        <v>0</v>
      </c>
      <c r="G53" s="31">
        <v>0</v>
      </c>
      <c r="H53" s="31">
        <v>0</v>
      </c>
      <c r="I53" s="31">
        <v>0</v>
      </c>
      <c r="J53" s="31">
        <f>E53+F53+G53+H53</f>
        <v>432060539</v>
      </c>
      <c r="K53" s="247">
        <f t="shared" si="7"/>
        <v>10.232572226627296</v>
      </c>
    </row>
    <row r="54" spans="1:11" s="5" customFormat="1" ht="15" customHeight="1" x14ac:dyDescent="0.2">
      <c r="A54" s="99">
        <v>7041</v>
      </c>
      <c r="B54" s="100"/>
      <c r="C54" s="101" t="s">
        <v>453</v>
      </c>
      <c r="D54" s="21" t="s">
        <v>454</v>
      </c>
      <c r="E54" s="31">
        <v>8147271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8147271</v>
      </c>
      <c r="K54" s="247">
        <f t="shared" si="7"/>
        <v>0.19295337442840618</v>
      </c>
    </row>
    <row r="55" spans="1:11" s="5" customFormat="1" ht="15" customHeight="1" x14ac:dyDescent="0.2">
      <c r="A55" s="99">
        <v>7042</v>
      </c>
      <c r="B55" s="100"/>
      <c r="C55" s="101" t="s">
        <v>455</v>
      </c>
      <c r="D55" s="21" t="s">
        <v>456</v>
      </c>
      <c r="E55" s="31">
        <v>144697508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144697508</v>
      </c>
      <c r="K55" s="247">
        <f t="shared" si="7"/>
        <v>3.4268987050978543</v>
      </c>
    </row>
    <row r="56" spans="1:11" s="5" customFormat="1" ht="15" customHeight="1" x14ac:dyDescent="0.2">
      <c r="A56" s="99">
        <v>7043</v>
      </c>
      <c r="B56" s="100"/>
      <c r="C56" s="101" t="s">
        <v>457</v>
      </c>
      <c r="D56" s="21" t="s">
        <v>458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0</v>
      </c>
      <c r="K56" s="247">
        <f t="shared" si="7"/>
        <v>0</v>
      </c>
    </row>
    <row r="57" spans="1:11" s="5" customFormat="1" ht="15" customHeight="1" x14ac:dyDescent="0.2">
      <c r="A57" s="99">
        <v>7044</v>
      </c>
      <c r="B57" s="100"/>
      <c r="C57" s="101" t="s">
        <v>459</v>
      </c>
      <c r="D57" s="21" t="s">
        <v>460</v>
      </c>
      <c r="E57" s="31">
        <v>16166936</v>
      </c>
      <c r="F57" s="31">
        <v>2128683</v>
      </c>
      <c r="G57" s="31">
        <v>0</v>
      </c>
      <c r="H57" s="31">
        <v>0</v>
      </c>
      <c r="I57" s="31">
        <v>0</v>
      </c>
      <c r="J57" s="31">
        <f>E57+F57+G57+H57</f>
        <v>18295619</v>
      </c>
      <c r="K57" s="247">
        <f t="shared" si="7"/>
        <v>0.43329863745866098</v>
      </c>
    </row>
    <row r="58" spans="1:11" s="5" customFormat="1" ht="15" customHeight="1" x14ac:dyDescent="0.2">
      <c r="A58" s="99"/>
      <c r="B58" s="100"/>
      <c r="C58" s="101" t="s">
        <v>461</v>
      </c>
      <c r="D58" s="21" t="s">
        <v>462</v>
      </c>
      <c r="E58" s="31"/>
      <c r="F58" s="31"/>
      <c r="G58" s="31"/>
      <c r="H58" s="31"/>
      <c r="I58" s="31"/>
      <c r="J58" s="31"/>
      <c r="K58" s="248"/>
    </row>
    <row r="59" spans="1:11" s="5" customFormat="1" ht="15" customHeight="1" x14ac:dyDescent="0.2">
      <c r="A59" s="99">
        <v>7045</v>
      </c>
      <c r="B59" s="100"/>
      <c r="C59" s="101" t="s">
        <v>463</v>
      </c>
      <c r="D59" s="21" t="s">
        <v>464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f>E59+F59+G59+H59</f>
        <v>0</v>
      </c>
      <c r="K59" s="247">
        <f>J59/J$141*100</f>
        <v>0</v>
      </c>
    </row>
    <row r="60" spans="1:11" s="5" customFormat="1" ht="15" customHeight="1" x14ac:dyDescent="0.2">
      <c r="A60" s="99">
        <v>7046</v>
      </c>
      <c r="B60" s="100"/>
      <c r="C60" s="101" t="s">
        <v>465</v>
      </c>
      <c r="D60" s="21" t="s">
        <v>466</v>
      </c>
      <c r="E60" s="31">
        <v>16092484</v>
      </c>
      <c r="F60" s="31">
        <v>21449</v>
      </c>
      <c r="G60" s="31">
        <v>0</v>
      </c>
      <c r="H60" s="31">
        <v>0</v>
      </c>
      <c r="I60" s="31">
        <v>0</v>
      </c>
      <c r="J60" s="31">
        <f>E60+F60+G60+H60</f>
        <v>16113933</v>
      </c>
      <c r="K60" s="247">
        <f>J60/J$141*100</f>
        <v>0.38162935143108051</v>
      </c>
    </row>
    <row r="61" spans="1:11" s="5" customFormat="1" ht="15" customHeight="1" x14ac:dyDescent="0.2">
      <c r="A61" s="99">
        <v>7047</v>
      </c>
      <c r="B61" s="100"/>
      <c r="C61" s="101" t="s">
        <v>814</v>
      </c>
      <c r="D61" s="21" t="s">
        <v>468</v>
      </c>
      <c r="E61" s="31">
        <v>4022824</v>
      </c>
      <c r="F61" s="31">
        <v>6831596</v>
      </c>
      <c r="G61" s="31">
        <v>0</v>
      </c>
      <c r="H61" s="31">
        <v>0</v>
      </c>
      <c r="I61" s="31">
        <v>0</v>
      </c>
      <c r="J61" s="31">
        <f>E61+F61+G61+H61</f>
        <v>10854420</v>
      </c>
      <c r="K61" s="247">
        <f>J61/J$141*100</f>
        <v>0.25706730099725178</v>
      </c>
    </row>
    <row r="62" spans="1:11" s="5" customFormat="1" ht="15" customHeight="1" x14ac:dyDescent="0.2">
      <c r="A62" s="99">
        <v>7048</v>
      </c>
      <c r="B62" s="100"/>
      <c r="C62" s="101" t="s">
        <v>815</v>
      </c>
      <c r="D62" s="21" t="s">
        <v>462</v>
      </c>
      <c r="E62" s="31">
        <v>5023657</v>
      </c>
      <c r="F62" s="31">
        <v>0</v>
      </c>
      <c r="G62" s="31">
        <v>0</v>
      </c>
      <c r="H62" s="31">
        <v>0</v>
      </c>
      <c r="I62" s="31">
        <v>0</v>
      </c>
      <c r="J62" s="31">
        <f>E62+F62+G62+H62</f>
        <v>5023657</v>
      </c>
      <c r="K62" s="247">
        <f>J62/J$141*100</f>
        <v>0.11897622776029958</v>
      </c>
    </row>
    <row r="63" spans="1:11" s="5" customFormat="1" ht="15" customHeight="1" x14ac:dyDescent="0.2">
      <c r="A63" s="99"/>
      <c r="B63" s="100"/>
      <c r="C63" s="101"/>
      <c r="D63" s="21" t="s">
        <v>462</v>
      </c>
      <c r="E63" s="31"/>
      <c r="F63" s="31"/>
      <c r="G63" s="31"/>
      <c r="H63" s="31"/>
      <c r="I63" s="31"/>
      <c r="J63" s="31"/>
      <c r="K63" s="248"/>
    </row>
    <row r="64" spans="1:11" s="5" customFormat="1" ht="15" customHeight="1" x14ac:dyDescent="0.2">
      <c r="A64" s="99">
        <v>705</v>
      </c>
      <c r="B64" s="100"/>
      <c r="C64" s="101" t="s">
        <v>470</v>
      </c>
      <c r="D64" s="21" t="s">
        <v>471</v>
      </c>
      <c r="E64" s="31">
        <f t="shared" ref="E64:J64" si="8">SUM(E65:E71)</f>
        <v>40484100</v>
      </c>
      <c r="F64" s="31">
        <f t="shared" si="8"/>
        <v>0</v>
      </c>
      <c r="G64" s="31">
        <f t="shared" si="8"/>
        <v>0</v>
      </c>
      <c r="H64" s="31">
        <f t="shared" si="8"/>
        <v>0</v>
      </c>
      <c r="I64" s="31">
        <f t="shared" si="8"/>
        <v>0</v>
      </c>
      <c r="J64" s="31">
        <f t="shared" si="8"/>
        <v>40484100</v>
      </c>
      <c r="K64" s="247">
        <f t="shared" ref="K64:K71" si="9">J64/J$141*100</f>
        <v>0.95879266882088976</v>
      </c>
    </row>
    <row r="65" spans="1:11" s="5" customFormat="1" ht="15" customHeight="1" x14ac:dyDescent="0.2">
      <c r="A65" s="99">
        <v>7050</v>
      </c>
      <c r="B65" s="100"/>
      <c r="C65" s="101" t="s">
        <v>472</v>
      </c>
      <c r="D65" s="21" t="s">
        <v>473</v>
      </c>
      <c r="E65" s="31">
        <v>37776253</v>
      </c>
      <c r="F65" s="31">
        <v>0</v>
      </c>
      <c r="G65" s="31">
        <v>0</v>
      </c>
      <c r="H65" s="31">
        <v>0</v>
      </c>
      <c r="I65" s="31">
        <v>0</v>
      </c>
      <c r="J65" s="31">
        <f t="shared" ref="J65:J71" si="10">E65+F65+G65+H65</f>
        <v>37776253</v>
      </c>
      <c r="K65" s="247">
        <f t="shared" si="9"/>
        <v>0.89466221138479407</v>
      </c>
    </row>
    <row r="66" spans="1:11" s="5" customFormat="1" ht="15" customHeight="1" x14ac:dyDescent="0.2">
      <c r="A66" s="99">
        <v>7051</v>
      </c>
      <c r="B66" s="100"/>
      <c r="C66" s="101" t="s">
        <v>474</v>
      </c>
      <c r="D66" s="21" t="s">
        <v>475</v>
      </c>
      <c r="E66" s="31">
        <v>2707847</v>
      </c>
      <c r="F66" s="31">
        <v>0</v>
      </c>
      <c r="G66" s="31">
        <v>0</v>
      </c>
      <c r="H66" s="31">
        <v>0</v>
      </c>
      <c r="I66" s="31">
        <v>0</v>
      </c>
      <c r="J66" s="31">
        <f t="shared" si="10"/>
        <v>2707847</v>
      </c>
      <c r="K66" s="247">
        <f t="shared" si="9"/>
        <v>6.4130457436095648E-2</v>
      </c>
    </row>
    <row r="67" spans="1:11" s="5" customFormat="1" ht="15" customHeight="1" x14ac:dyDescent="0.2">
      <c r="A67" s="99">
        <v>7052</v>
      </c>
      <c r="B67" s="100"/>
      <c r="C67" s="101" t="s">
        <v>476</v>
      </c>
      <c r="D67" s="21" t="s">
        <v>477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10"/>
        <v>0</v>
      </c>
      <c r="K67" s="247">
        <f t="shared" si="9"/>
        <v>0</v>
      </c>
    </row>
    <row r="68" spans="1:11" s="5" customFormat="1" ht="15" customHeight="1" x14ac:dyDescent="0.2">
      <c r="A68" s="99">
        <v>7053</v>
      </c>
      <c r="B68" s="100"/>
      <c r="C68" s="101" t="s">
        <v>478</v>
      </c>
      <c r="D68" s="21" t="s">
        <v>479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10"/>
        <v>0</v>
      </c>
      <c r="K68" s="247">
        <f t="shared" si="9"/>
        <v>0</v>
      </c>
    </row>
    <row r="69" spans="1:11" s="5" customFormat="1" ht="15" customHeight="1" x14ac:dyDescent="0.2">
      <c r="A69" s="99">
        <v>7054</v>
      </c>
      <c r="B69" s="100"/>
      <c r="C69" s="101" t="s">
        <v>480</v>
      </c>
      <c r="D69" s="21" t="s">
        <v>481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10"/>
        <v>0</v>
      </c>
      <c r="K69" s="247">
        <f t="shared" si="9"/>
        <v>0</v>
      </c>
    </row>
    <row r="70" spans="1:11" s="5" customFormat="1" ht="15" customHeight="1" x14ac:dyDescent="0.2">
      <c r="A70" s="99">
        <v>7055</v>
      </c>
      <c r="B70" s="100"/>
      <c r="C70" s="101" t="s">
        <v>482</v>
      </c>
      <c r="D70" s="21" t="s">
        <v>483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10"/>
        <v>0</v>
      </c>
      <c r="K70" s="247">
        <f t="shared" si="9"/>
        <v>0</v>
      </c>
    </row>
    <row r="71" spans="1:11" s="5" customFormat="1" ht="15" customHeight="1" x14ac:dyDescent="0.2">
      <c r="A71" s="99">
        <v>7056</v>
      </c>
      <c r="B71" s="100"/>
      <c r="C71" s="101" t="s">
        <v>484</v>
      </c>
      <c r="D71" s="21" t="s">
        <v>485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10"/>
        <v>0</v>
      </c>
      <c r="K71" s="247">
        <f t="shared" si="9"/>
        <v>0</v>
      </c>
    </row>
    <row r="72" spans="1:11" s="5" customFormat="1" ht="15" customHeight="1" x14ac:dyDescent="0.2">
      <c r="A72" s="99"/>
      <c r="B72" s="100"/>
      <c r="C72" s="101"/>
      <c r="D72" s="21" t="s">
        <v>462</v>
      </c>
      <c r="E72" s="31"/>
      <c r="F72" s="31"/>
      <c r="G72" s="31"/>
      <c r="H72" s="31"/>
      <c r="I72" s="31"/>
      <c r="J72" s="31"/>
      <c r="K72" s="248"/>
    </row>
    <row r="73" spans="1:11" s="5" customFormat="1" ht="15" customHeight="1" x14ac:dyDescent="0.2">
      <c r="A73" s="99">
        <v>706</v>
      </c>
      <c r="B73" s="100"/>
      <c r="C73" s="101" t="s">
        <v>486</v>
      </c>
      <c r="D73" s="21" t="s">
        <v>487</v>
      </c>
      <c r="E73" s="31">
        <f>E74</f>
        <v>22714</v>
      </c>
      <c r="F73" s="31">
        <f>F74</f>
        <v>4037</v>
      </c>
      <c r="G73" s="31">
        <f>G74</f>
        <v>8069000</v>
      </c>
      <c r="H73" s="31">
        <f>H74</f>
        <v>0</v>
      </c>
      <c r="I73" s="31">
        <f>I74</f>
        <v>0</v>
      </c>
      <c r="J73" s="31">
        <f>E73+F73+G73+H73</f>
        <v>8095751</v>
      </c>
      <c r="K73" s="247">
        <f>J73/J$141*100</f>
        <v>0.19173321643310304</v>
      </c>
    </row>
    <row r="74" spans="1:11" s="5" customFormat="1" ht="15" customHeight="1" x14ac:dyDescent="0.2">
      <c r="A74" s="99">
        <v>7060</v>
      </c>
      <c r="B74" s="100"/>
      <c r="C74" s="101" t="s">
        <v>488</v>
      </c>
      <c r="D74" s="21" t="s">
        <v>489</v>
      </c>
      <c r="E74" s="31">
        <v>22714</v>
      </c>
      <c r="F74" s="31">
        <v>4037</v>
      </c>
      <c r="G74" s="31">
        <v>8069000</v>
      </c>
      <c r="H74" s="31">
        <v>0</v>
      </c>
      <c r="I74" s="31">
        <v>0</v>
      </c>
      <c r="J74" s="31">
        <f>E74+F74+G74+H74</f>
        <v>8095751</v>
      </c>
      <c r="K74" s="247">
        <f>J74/J$141*100</f>
        <v>0.19173321643310304</v>
      </c>
    </row>
    <row r="75" spans="1:11" s="5" customFormat="1" ht="15" customHeight="1" x14ac:dyDescent="0.2">
      <c r="A75" s="99"/>
      <c r="B75" s="100"/>
      <c r="C75" s="101"/>
      <c r="D75" s="21"/>
      <c r="E75" s="31"/>
      <c r="F75" s="31"/>
      <c r="G75" s="31"/>
      <c r="H75" s="31"/>
      <c r="I75" s="31"/>
      <c r="J75" s="31"/>
      <c r="K75" s="248"/>
    </row>
    <row r="76" spans="1:11" s="5" customFormat="1" ht="15" customHeight="1" x14ac:dyDescent="0.25">
      <c r="A76" s="88">
        <v>71</v>
      </c>
      <c r="B76" s="89"/>
      <c r="C76" s="90" t="s">
        <v>490</v>
      </c>
      <c r="D76" s="22" t="s">
        <v>491</v>
      </c>
      <c r="E76" s="32">
        <f t="shared" ref="E76:J76" si="11">E79+E86+E90+E93+E97</f>
        <v>49503608</v>
      </c>
      <c r="F76" s="32">
        <f t="shared" si="11"/>
        <v>28383047</v>
      </c>
      <c r="G76" s="32">
        <f t="shared" si="11"/>
        <v>4559127</v>
      </c>
      <c r="H76" s="32">
        <f t="shared" si="11"/>
        <v>3697828</v>
      </c>
      <c r="I76" s="32">
        <f t="shared" si="11"/>
        <v>0</v>
      </c>
      <c r="J76" s="32">
        <f t="shared" si="11"/>
        <v>86143610</v>
      </c>
      <c r="K76" s="245">
        <f>J76/J$141*100</f>
        <v>2.040155560671125</v>
      </c>
    </row>
    <row r="77" spans="1:11" s="5" customFormat="1" ht="15" customHeight="1" x14ac:dyDescent="0.2">
      <c r="A77" s="99"/>
      <c r="B77" s="100"/>
      <c r="C77" s="101" t="s">
        <v>492</v>
      </c>
      <c r="D77" s="21" t="s">
        <v>492</v>
      </c>
      <c r="E77" s="31"/>
      <c r="F77" s="31"/>
      <c r="G77" s="31"/>
      <c r="H77" s="31"/>
      <c r="I77" s="31"/>
      <c r="J77" s="31"/>
      <c r="K77" s="248"/>
    </row>
    <row r="78" spans="1:11" s="5" customFormat="1" ht="15" customHeight="1" x14ac:dyDescent="0.2">
      <c r="A78" s="99" t="s">
        <v>493</v>
      </c>
      <c r="B78" s="100"/>
      <c r="C78" s="101"/>
      <c r="D78" s="21"/>
      <c r="E78" s="31"/>
      <c r="F78" s="31"/>
      <c r="G78" s="31"/>
      <c r="H78" s="31"/>
      <c r="I78" s="31"/>
      <c r="J78" s="31"/>
      <c r="K78" s="248"/>
    </row>
    <row r="79" spans="1:11" s="5" customFormat="1" ht="15" customHeight="1" x14ac:dyDescent="0.2">
      <c r="A79" s="99">
        <v>710</v>
      </c>
      <c r="B79" s="100"/>
      <c r="C79" s="101" t="s">
        <v>494</v>
      </c>
      <c r="D79" s="21" t="s">
        <v>495</v>
      </c>
      <c r="E79" s="31">
        <f>SUM(E80:E83)</f>
        <v>12660396</v>
      </c>
      <c r="F79" s="31">
        <f>SUM(F80:F83)</f>
        <v>11119000</v>
      </c>
      <c r="G79" s="31">
        <f>SUM(G80:G83)</f>
        <v>446545</v>
      </c>
      <c r="H79" s="31">
        <f>SUM(H80:H83)</f>
        <v>795609</v>
      </c>
      <c r="I79" s="31">
        <f>SUM(I80:I83)</f>
        <v>0</v>
      </c>
      <c r="J79" s="31">
        <f>E79+F79+G79+H79</f>
        <v>25021550</v>
      </c>
      <c r="K79" s="247">
        <f>J79/J$141*100</f>
        <v>0.59259014532953269</v>
      </c>
    </row>
    <row r="80" spans="1:11" s="5" customFormat="1" ht="15" customHeight="1" x14ac:dyDescent="0.2">
      <c r="A80" s="99">
        <v>7100</v>
      </c>
      <c r="B80" s="100"/>
      <c r="C80" s="101" t="s">
        <v>496</v>
      </c>
      <c r="D80" s="21" t="s">
        <v>497</v>
      </c>
      <c r="E80" s="31">
        <v>2500000</v>
      </c>
      <c r="F80" s="31">
        <v>140000</v>
      </c>
      <c r="G80" s="31">
        <v>0</v>
      </c>
      <c r="H80" s="31">
        <v>0</v>
      </c>
      <c r="I80" s="31">
        <v>0</v>
      </c>
      <c r="J80" s="31">
        <f>E80+F80+G80+H80</f>
        <v>2640000</v>
      </c>
      <c r="K80" s="247">
        <f>J80/J$141*100</f>
        <v>6.2523623982925366E-2</v>
      </c>
    </row>
    <row r="81" spans="1:11" s="5" customFormat="1" ht="15" customHeight="1" x14ac:dyDescent="0.2">
      <c r="A81" s="99">
        <v>7101</v>
      </c>
      <c r="B81" s="100"/>
      <c r="C81" s="101" t="s">
        <v>498</v>
      </c>
      <c r="D81" s="21" t="s">
        <v>499</v>
      </c>
      <c r="E81" s="31">
        <v>0</v>
      </c>
      <c r="F81" s="31">
        <v>245000</v>
      </c>
      <c r="G81" s="31">
        <v>0</v>
      </c>
      <c r="H81" s="31">
        <v>1196</v>
      </c>
      <c r="I81" s="31">
        <v>0</v>
      </c>
      <c r="J81" s="31">
        <f>E81+F81+G81+H81</f>
        <v>246196</v>
      </c>
      <c r="K81" s="247">
        <f>J81/J$141*100</f>
        <v>5.8307068674622329E-3</v>
      </c>
    </row>
    <row r="82" spans="1:11" s="5" customFormat="1" ht="15" customHeight="1" x14ac:dyDescent="0.2">
      <c r="A82" s="99">
        <v>7102</v>
      </c>
      <c r="B82" s="100"/>
      <c r="C82" s="101" t="s">
        <v>500</v>
      </c>
      <c r="D82" s="21" t="s">
        <v>501</v>
      </c>
      <c r="E82" s="31">
        <v>3720000</v>
      </c>
      <c r="F82" s="31">
        <v>1100000</v>
      </c>
      <c r="G82" s="31">
        <v>417385</v>
      </c>
      <c r="H82" s="31">
        <v>702287</v>
      </c>
      <c r="I82" s="31">
        <v>0</v>
      </c>
      <c r="J82" s="31">
        <f>E82+F82+G82+H82</f>
        <v>5939672</v>
      </c>
      <c r="K82" s="247">
        <f>J82/J$141*100</f>
        <v>0.14067038587496603</v>
      </c>
    </row>
    <row r="83" spans="1:11" s="5" customFormat="1" ht="15" customHeight="1" x14ac:dyDescent="0.2">
      <c r="A83" s="99">
        <v>7103</v>
      </c>
      <c r="B83" s="100"/>
      <c r="C83" s="101" t="s">
        <v>502</v>
      </c>
      <c r="D83" s="21" t="s">
        <v>503</v>
      </c>
      <c r="E83" s="31">
        <v>6440396</v>
      </c>
      <c r="F83" s="31">
        <v>9634000</v>
      </c>
      <c r="G83" s="31">
        <v>29160</v>
      </c>
      <c r="H83" s="31">
        <v>92126</v>
      </c>
      <c r="I83" s="31">
        <v>0</v>
      </c>
      <c r="J83" s="31">
        <f>E83+F83+G83+H83</f>
        <v>16195682</v>
      </c>
      <c r="K83" s="247">
        <f>J83/J$141*100</f>
        <v>0.38356542860417903</v>
      </c>
    </row>
    <row r="84" spans="1:11" s="5" customFormat="1" ht="15" customHeight="1" x14ac:dyDescent="0.2">
      <c r="A84" s="99"/>
      <c r="B84" s="100"/>
      <c r="C84" s="101" t="s">
        <v>504</v>
      </c>
      <c r="D84" s="21" t="s">
        <v>462</v>
      </c>
      <c r="E84" s="31"/>
      <c r="F84" s="31"/>
      <c r="G84" s="31"/>
      <c r="H84" s="31"/>
      <c r="I84" s="31"/>
      <c r="J84" s="31"/>
      <c r="K84" s="248"/>
    </row>
    <row r="85" spans="1:11" s="5" customFormat="1" ht="15" customHeight="1" x14ac:dyDescent="0.2">
      <c r="A85" s="99"/>
      <c r="B85" s="100"/>
      <c r="C85" s="101"/>
      <c r="D85" s="21"/>
      <c r="E85" s="31"/>
      <c r="F85" s="31"/>
      <c r="G85" s="31"/>
      <c r="H85" s="31"/>
      <c r="I85" s="31"/>
      <c r="J85" s="31"/>
      <c r="K85" s="248"/>
    </row>
    <row r="86" spans="1:11" s="5" customFormat="1" ht="15" customHeight="1" x14ac:dyDescent="0.2">
      <c r="A86" s="99">
        <v>711</v>
      </c>
      <c r="B86" s="100"/>
      <c r="C86" s="101" t="s">
        <v>505</v>
      </c>
      <c r="D86" s="21" t="s">
        <v>506</v>
      </c>
      <c r="E86" s="31">
        <f>E87+E88</f>
        <v>16757157</v>
      </c>
      <c r="F86" s="31">
        <f>F87+F88</f>
        <v>365000</v>
      </c>
      <c r="G86" s="31">
        <f>G87+G88</f>
        <v>0</v>
      </c>
      <c r="H86" s="31">
        <f>H87+H88</f>
        <v>0</v>
      </c>
      <c r="I86" s="31">
        <f>I87+I88</f>
        <v>0</v>
      </c>
      <c r="J86" s="31">
        <f>E86+F86+G86+H86</f>
        <v>17122157</v>
      </c>
      <c r="K86" s="247">
        <f>J86/J$141*100</f>
        <v>0.40550731289568687</v>
      </c>
    </row>
    <row r="87" spans="1:11" s="5" customFormat="1" ht="15" customHeight="1" x14ac:dyDescent="0.2">
      <c r="A87" s="99">
        <v>7110</v>
      </c>
      <c r="B87" s="100"/>
      <c r="C87" s="101" t="s">
        <v>507</v>
      </c>
      <c r="D87" s="21" t="s">
        <v>508</v>
      </c>
      <c r="E87" s="31">
        <v>7952325</v>
      </c>
      <c r="F87" s="31">
        <v>0</v>
      </c>
      <c r="G87" s="31">
        <v>0</v>
      </c>
      <c r="H87" s="31">
        <v>0</v>
      </c>
      <c r="I87" s="31">
        <v>0</v>
      </c>
      <c r="J87" s="31">
        <f>E87+F87+G87+H87</f>
        <v>7952325</v>
      </c>
      <c r="K87" s="247">
        <f>J87/J$141*100</f>
        <v>0.18833643109470338</v>
      </c>
    </row>
    <row r="88" spans="1:11" s="5" customFormat="1" ht="15" customHeight="1" x14ac:dyDescent="0.2">
      <c r="A88" s="99">
        <v>7111</v>
      </c>
      <c r="B88" s="100"/>
      <c r="C88" s="101" t="s">
        <v>509</v>
      </c>
      <c r="D88" s="21" t="s">
        <v>510</v>
      </c>
      <c r="E88" s="31">
        <v>8804832</v>
      </c>
      <c r="F88" s="31">
        <v>365000</v>
      </c>
      <c r="G88" s="31">
        <v>0</v>
      </c>
      <c r="H88" s="31">
        <v>0</v>
      </c>
      <c r="I88" s="31">
        <v>0</v>
      </c>
      <c r="J88" s="31">
        <f>E88+F88+G88+H88</f>
        <v>9169832</v>
      </c>
      <c r="K88" s="247">
        <f>J88/J$141*100</f>
        <v>0.21717088180098354</v>
      </c>
    </row>
    <row r="89" spans="1:11" s="5" customFormat="1" ht="15" customHeight="1" x14ac:dyDescent="0.2">
      <c r="A89" s="99"/>
      <c r="B89" s="100"/>
      <c r="C89" s="101"/>
      <c r="D89" s="21"/>
      <c r="E89" s="31"/>
      <c r="F89" s="31"/>
      <c r="G89" s="31"/>
      <c r="H89" s="31"/>
      <c r="I89" s="31"/>
      <c r="J89" s="31"/>
      <c r="K89" s="248"/>
    </row>
    <row r="90" spans="1:11" s="5" customFormat="1" ht="15" customHeight="1" x14ac:dyDescent="0.2">
      <c r="A90" s="99">
        <v>712</v>
      </c>
      <c r="B90" s="100"/>
      <c r="C90" s="101" t="s">
        <v>511</v>
      </c>
      <c r="D90" s="21" t="s">
        <v>512</v>
      </c>
      <c r="E90" s="31">
        <f>E91</f>
        <v>7144251</v>
      </c>
      <c r="F90" s="31">
        <f>F91</f>
        <v>342170</v>
      </c>
      <c r="G90" s="31">
        <f>G91</f>
        <v>0</v>
      </c>
      <c r="H90" s="31">
        <f>H91</f>
        <v>0</v>
      </c>
      <c r="I90" s="31">
        <f>I91</f>
        <v>0</v>
      </c>
      <c r="J90" s="31">
        <f>E90+F90+G90+H90</f>
        <v>7486421</v>
      </c>
      <c r="K90" s="247">
        <f>J90/J$141*100</f>
        <v>0.17730233772040763</v>
      </c>
    </row>
    <row r="91" spans="1:11" s="5" customFormat="1" ht="15" customHeight="1" x14ac:dyDescent="0.2">
      <c r="A91" s="99">
        <v>7120</v>
      </c>
      <c r="B91" s="100"/>
      <c r="C91" s="101" t="s">
        <v>513</v>
      </c>
      <c r="D91" s="21" t="s">
        <v>514</v>
      </c>
      <c r="E91" s="31">
        <v>7144251</v>
      </c>
      <c r="F91" s="31">
        <v>342170</v>
      </c>
      <c r="G91" s="31">
        <v>0</v>
      </c>
      <c r="H91" s="31">
        <v>0</v>
      </c>
      <c r="I91" s="31">
        <v>0</v>
      </c>
      <c r="J91" s="31">
        <f>E91+F91+G91+H91</f>
        <v>7486421</v>
      </c>
      <c r="K91" s="247">
        <f>J91/J$141*100</f>
        <v>0.17730233772040763</v>
      </c>
    </row>
    <row r="92" spans="1:11" s="5" customFormat="1" ht="15" customHeight="1" x14ac:dyDescent="0.2">
      <c r="A92" s="99"/>
      <c r="B92" s="100"/>
      <c r="C92" s="101"/>
      <c r="D92" s="21"/>
      <c r="E92" s="31"/>
      <c r="F92" s="31"/>
      <c r="G92" s="31"/>
      <c r="H92" s="31"/>
      <c r="I92" s="31"/>
      <c r="J92" s="31"/>
      <c r="K92" s="248"/>
    </row>
    <row r="93" spans="1:11" s="5" customFormat="1" ht="15" customHeight="1" x14ac:dyDescent="0.2">
      <c r="A93" s="99">
        <v>713</v>
      </c>
      <c r="B93" s="100"/>
      <c r="C93" s="101" t="s">
        <v>515</v>
      </c>
      <c r="D93" s="21" t="s">
        <v>516</v>
      </c>
      <c r="E93" s="31">
        <f t="shared" ref="E93:J93" si="12">E94</f>
        <v>4361841</v>
      </c>
      <c r="F93" s="31">
        <f t="shared" si="12"/>
        <v>1104870</v>
      </c>
      <c r="G93" s="31">
        <f t="shared" si="12"/>
        <v>154699</v>
      </c>
      <c r="H93" s="31">
        <f t="shared" si="12"/>
        <v>1789992</v>
      </c>
      <c r="I93" s="31">
        <f t="shared" si="12"/>
        <v>0</v>
      </c>
      <c r="J93" s="31">
        <f t="shared" si="12"/>
        <v>7411402</v>
      </c>
      <c r="K93" s="247">
        <f>J93/J$141*100</f>
        <v>0.17552564842208374</v>
      </c>
    </row>
    <row r="94" spans="1:11" s="5" customFormat="1" ht="15" customHeight="1" x14ac:dyDescent="0.2">
      <c r="A94" s="99">
        <v>7130</v>
      </c>
      <c r="B94" s="100"/>
      <c r="C94" s="101" t="s">
        <v>517</v>
      </c>
      <c r="D94" s="21" t="s">
        <v>518</v>
      </c>
      <c r="E94" s="31">
        <v>4361841</v>
      </c>
      <c r="F94" s="31">
        <v>1104870</v>
      </c>
      <c r="G94" s="31">
        <v>154699</v>
      </c>
      <c r="H94" s="31">
        <v>1789992</v>
      </c>
      <c r="I94" s="33">
        <v>0</v>
      </c>
      <c r="J94" s="33">
        <f>E94+F94+G94+H94-I94</f>
        <v>7411402</v>
      </c>
      <c r="K94" s="247">
        <f>J94/J$141*100</f>
        <v>0.17552564842208374</v>
      </c>
    </row>
    <row r="95" spans="1:11" s="5" customFormat="1" ht="15" customHeight="1" x14ac:dyDescent="0.2">
      <c r="A95" s="99"/>
      <c r="B95" s="100"/>
      <c r="C95" s="101" t="s">
        <v>519</v>
      </c>
      <c r="D95" s="21"/>
      <c r="E95" s="31"/>
      <c r="F95" s="31"/>
      <c r="G95" s="31"/>
      <c r="H95" s="31"/>
      <c r="I95" s="31"/>
      <c r="J95" s="34"/>
      <c r="K95" s="248"/>
    </row>
    <row r="96" spans="1:11" s="5" customFormat="1" ht="15" customHeight="1" x14ac:dyDescent="0.2">
      <c r="A96" s="99"/>
      <c r="B96" s="100"/>
      <c r="C96" s="101"/>
      <c r="D96" s="21" t="s">
        <v>462</v>
      </c>
      <c r="E96" s="31"/>
      <c r="F96" s="31"/>
      <c r="G96" s="31"/>
      <c r="H96" s="31"/>
      <c r="I96" s="31"/>
      <c r="J96" s="31"/>
      <c r="K96" s="248"/>
    </row>
    <row r="97" spans="1:11" s="5" customFormat="1" ht="15" customHeight="1" x14ac:dyDescent="0.2">
      <c r="A97" s="99">
        <v>714</v>
      </c>
      <c r="B97" s="100"/>
      <c r="C97" s="101" t="s">
        <v>520</v>
      </c>
      <c r="D97" s="21" t="s">
        <v>521</v>
      </c>
      <c r="E97" s="31">
        <f t="shared" ref="E97:J97" si="13">E98+E99</f>
        <v>8579963</v>
      </c>
      <c r="F97" s="31">
        <f t="shared" si="13"/>
        <v>15452007</v>
      </c>
      <c r="G97" s="31">
        <f t="shared" si="13"/>
        <v>3957883</v>
      </c>
      <c r="H97" s="31">
        <f t="shared" si="13"/>
        <v>1112227</v>
      </c>
      <c r="I97" s="31">
        <f t="shared" si="13"/>
        <v>0</v>
      </c>
      <c r="J97" s="31">
        <f t="shared" si="13"/>
        <v>29102080</v>
      </c>
      <c r="K97" s="247">
        <f>J97/J$141*100</f>
        <v>0.68923011630341391</v>
      </c>
    </row>
    <row r="98" spans="1:11" s="5" customFormat="1" ht="15" customHeight="1" x14ac:dyDescent="0.2">
      <c r="A98" s="99">
        <v>7140</v>
      </c>
      <c r="B98" s="100"/>
      <c r="C98" s="101" t="s">
        <v>522</v>
      </c>
      <c r="D98" s="21" t="s">
        <v>523</v>
      </c>
      <c r="E98" s="31"/>
      <c r="F98" s="31">
        <v>0</v>
      </c>
      <c r="G98" s="31">
        <v>3342851</v>
      </c>
      <c r="H98" s="31">
        <v>0</v>
      </c>
      <c r="I98" s="31">
        <v>0</v>
      </c>
      <c r="J98" s="31">
        <f>E98+F98+G98+H98</f>
        <v>3342851</v>
      </c>
      <c r="K98" s="247">
        <f>J98/J$141*100</f>
        <v>7.9169378392025022E-2</v>
      </c>
    </row>
    <row r="99" spans="1:11" s="5" customFormat="1" ht="15" customHeight="1" x14ac:dyDescent="0.2">
      <c r="A99" s="99">
        <v>7141</v>
      </c>
      <c r="B99" s="100"/>
      <c r="C99" s="101" t="s">
        <v>524</v>
      </c>
      <c r="D99" s="21" t="s">
        <v>525</v>
      </c>
      <c r="E99" s="31">
        <v>8579963</v>
      </c>
      <c r="F99" s="31">
        <v>15452007</v>
      </c>
      <c r="G99" s="31">
        <v>615032</v>
      </c>
      <c r="H99" s="31">
        <v>1112227</v>
      </c>
      <c r="I99" s="31">
        <f>I100+I101</f>
        <v>0</v>
      </c>
      <c r="J99" s="31">
        <f>E99+F99+G99+H99-I99</f>
        <v>25759229</v>
      </c>
      <c r="K99" s="247">
        <f>J99/J$141*100</f>
        <v>0.61006073791138893</v>
      </c>
    </row>
    <row r="100" spans="1:11" s="5" customFormat="1" ht="15" customHeight="1" x14ac:dyDescent="0.2">
      <c r="A100" s="99"/>
      <c r="B100" s="100"/>
      <c r="C100" s="101"/>
      <c r="D100" s="21"/>
      <c r="E100" s="31"/>
      <c r="F100" s="31"/>
      <c r="G100" s="31"/>
      <c r="H100" s="31"/>
      <c r="I100" s="31"/>
      <c r="J100" s="31"/>
      <c r="K100" s="248"/>
    </row>
    <row r="101" spans="1:11" s="5" customFormat="1" ht="15" customHeight="1" x14ac:dyDescent="0.25">
      <c r="A101" s="88">
        <v>72</v>
      </c>
      <c r="B101" s="89"/>
      <c r="C101" s="90" t="s">
        <v>526</v>
      </c>
      <c r="D101" s="22" t="s">
        <v>527</v>
      </c>
      <c r="E101" s="32">
        <f>E104+E110+E114</f>
        <v>4398672</v>
      </c>
      <c r="F101" s="32">
        <f>F104+F110+F114</f>
        <v>7675000</v>
      </c>
      <c r="G101" s="32">
        <f>G104+G110+G114</f>
        <v>138</v>
      </c>
      <c r="H101" s="32">
        <f>H104+H110+H114</f>
        <v>4248</v>
      </c>
      <c r="I101" s="32">
        <f>I104+I110+I114</f>
        <v>0</v>
      </c>
      <c r="J101" s="32">
        <f>E101+F101+G101+H101</f>
        <v>12078058</v>
      </c>
      <c r="K101" s="245">
        <f>J101/J$141*100</f>
        <v>0.2860469533469559</v>
      </c>
    </row>
    <row r="102" spans="1:11" s="5" customFormat="1" ht="15" customHeight="1" x14ac:dyDescent="0.2">
      <c r="A102" s="99"/>
      <c r="B102" s="100"/>
      <c r="C102" s="101" t="s">
        <v>528</v>
      </c>
      <c r="D102" s="21" t="s">
        <v>528</v>
      </c>
      <c r="E102" s="31"/>
      <c r="F102" s="31"/>
      <c r="G102" s="31"/>
      <c r="H102" s="31"/>
      <c r="I102" s="31"/>
      <c r="J102" s="31"/>
      <c r="K102" s="248"/>
    </row>
    <row r="103" spans="1:11" s="5" customFormat="1" ht="15" customHeight="1" x14ac:dyDescent="0.2">
      <c r="A103" s="99"/>
      <c r="B103" s="100"/>
      <c r="C103" s="101"/>
      <c r="D103" s="21"/>
      <c r="E103" s="31"/>
      <c r="F103" s="31"/>
      <c r="G103" s="31"/>
      <c r="H103" s="31"/>
      <c r="I103" s="31"/>
      <c r="J103" s="31"/>
      <c r="K103" s="248"/>
    </row>
    <row r="104" spans="1:11" s="5" customFormat="1" ht="15" customHeight="1" x14ac:dyDescent="0.2">
      <c r="A104" s="99">
        <v>720</v>
      </c>
      <c r="B104" s="100"/>
      <c r="C104" s="101" t="s">
        <v>529</v>
      </c>
      <c r="D104" s="21" t="s">
        <v>530</v>
      </c>
      <c r="E104" s="31">
        <f>SUM(E105:E108)</f>
        <v>2987772</v>
      </c>
      <c r="F104" s="31">
        <f>SUM(F105:F108)</f>
        <v>3525000</v>
      </c>
      <c r="G104" s="31">
        <v>138</v>
      </c>
      <c r="H104" s="31">
        <f>SUM(H105:H108)</f>
        <v>4248</v>
      </c>
      <c r="I104" s="31">
        <f>SUM(I105:I108)</f>
        <v>0</v>
      </c>
      <c r="J104" s="31">
        <f>E104+F104+G104+H104</f>
        <v>6517158</v>
      </c>
      <c r="K104" s="247">
        <f>J104/J$141*100</f>
        <v>0.1543470970565583</v>
      </c>
    </row>
    <row r="105" spans="1:11" s="5" customFormat="1" ht="15" customHeight="1" x14ac:dyDescent="0.2">
      <c r="A105" s="99">
        <v>7200</v>
      </c>
      <c r="B105" s="100"/>
      <c r="C105" s="101" t="s">
        <v>531</v>
      </c>
      <c r="D105" s="21" t="s">
        <v>532</v>
      </c>
      <c r="E105" s="31">
        <v>2821706</v>
      </c>
      <c r="F105" s="31">
        <v>3500000</v>
      </c>
      <c r="G105" s="31">
        <v>0</v>
      </c>
      <c r="H105" s="31">
        <v>0</v>
      </c>
      <c r="I105" s="31">
        <v>0</v>
      </c>
      <c r="J105" s="31">
        <f>E105+F105+G105+H105</f>
        <v>6321706</v>
      </c>
      <c r="K105" s="247">
        <f>J105/J$141*100</f>
        <v>0.14971817002825877</v>
      </c>
    </row>
    <row r="106" spans="1:11" s="5" customFormat="1" ht="15" customHeight="1" x14ac:dyDescent="0.2">
      <c r="A106" s="99">
        <v>7201</v>
      </c>
      <c r="B106" s="100"/>
      <c r="C106" s="101" t="s">
        <v>533</v>
      </c>
      <c r="D106" s="21" t="s">
        <v>534</v>
      </c>
      <c r="E106" s="31">
        <v>154346</v>
      </c>
      <c r="F106" s="31">
        <v>19500</v>
      </c>
      <c r="G106" s="31">
        <v>0</v>
      </c>
      <c r="H106" s="31">
        <v>0</v>
      </c>
      <c r="I106" s="31">
        <v>0</v>
      </c>
      <c r="J106" s="31">
        <f>E106+F106+G106+H106</f>
        <v>173846</v>
      </c>
      <c r="K106" s="247">
        <f>J106/J$141*100</f>
        <v>4.1172280056574403E-3</v>
      </c>
    </row>
    <row r="107" spans="1:11" s="5" customFormat="1" ht="15" customHeight="1" x14ac:dyDescent="0.2">
      <c r="A107" s="99">
        <v>7202</v>
      </c>
      <c r="B107" s="100"/>
      <c r="C107" s="101" t="s">
        <v>535</v>
      </c>
      <c r="D107" s="21" t="s">
        <v>536</v>
      </c>
      <c r="E107" s="31">
        <v>9220</v>
      </c>
      <c r="F107" s="31">
        <v>2500</v>
      </c>
      <c r="G107" s="31">
        <v>0</v>
      </c>
      <c r="H107" s="31">
        <v>0</v>
      </c>
      <c r="I107" s="31">
        <v>0</v>
      </c>
      <c r="J107" s="31">
        <f>E107+F107+G107+H107</f>
        <v>11720</v>
      </c>
      <c r="K107" s="247">
        <f>J107/J$141*100</f>
        <v>2.7756699737874446E-4</v>
      </c>
    </row>
    <row r="108" spans="1:11" s="5" customFormat="1" ht="15" customHeight="1" x14ac:dyDescent="0.2">
      <c r="A108" s="99">
        <v>7203</v>
      </c>
      <c r="B108" s="100"/>
      <c r="C108" s="101" t="s">
        <v>537</v>
      </c>
      <c r="D108" s="21" t="s">
        <v>538</v>
      </c>
      <c r="E108" s="31">
        <v>2500</v>
      </c>
      <c r="F108" s="31">
        <v>3000</v>
      </c>
      <c r="G108" s="31">
        <v>125</v>
      </c>
      <c r="H108" s="31">
        <v>4248</v>
      </c>
      <c r="I108" s="31">
        <v>0</v>
      </c>
      <c r="J108" s="31">
        <f>E108+F108+G108+H108</f>
        <v>9873</v>
      </c>
      <c r="K108" s="247">
        <f>J108/J$141*100</f>
        <v>2.3382414378159927E-4</v>
      </c>
    </row>
    <row r="109" spans="1:11" s="5" customFormat="1" ht="15" customHeight="1" x14ac:dyDescent="0.2">
      <c r="A109" s="99"/>
      <c r="B109" s="100"/>
      <c r="C109" s="101"/>
      <c r="D109" s="21"/>
      <c r="E109" s="31"/>
      <c r="F109" s="31"/>
      <c r="G109" s="31"/>
      <c r="H109" s="31"/>
      <c r="I109" s="31"/>
      <c r="J109" s="31"/>
      <c r="K109" s="248"/>
    </row>
    <row r="110" spans="1:11" s="5" customFormat="1" ht="15" customHeight="1" x14ac:dyDescent="0.2">
      <c r="A110" s="99">
        <v>721</v>
      </c>
      <c r="B110" s="100"/>
      <c r="C110" s="101" t="s">
        <v>539</v>
      </c>
      <c r="D110" s="21" t="s">
        <v>540</v>
      </c>
      <c r="E110" s="31">
        <f>E111+E112</f>
        <v>0</v>
      </c>
      <c r="F110" s="31">
        <f>F111+F112</f>
        <v>0</v>
      </c>
      <c r="G110" s="31">
        <f>G111+G112</f>
        <v>0</v>
      </c>
      <c r="H110" s="31">
        <f>H111+H112</f>
        <v>0</v>
      </c>
      <c r="I110" s="31">
        <f>I111+I112</f>
        <v>0</v>
      </c>
      <c r="J110" s="31">
        <f>E110+F110+G110+H110</f>
        <v>0</v>
      </c>
      <c r="K110" s="247">
        <f>J110/J$141*100</f>
        <v>0</v>
      </c>
    </row>
    <row r="111" spans="1:11" s="5" customFormat="1" ht="15" customHeight="1" x14ac:dyDescent="0.2">
      <c r="A111" s="99">
        <v>7210</v>
      </c>
      <c r="B111" s="100"/>
      <c r="C111" s="101" t="s">
        <v>541</v>
      </c>
      <c r="D111" s="21" t="s">
        <v>542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f>E111+F111+G111+H111</f>
        <v>0</v>
      </c>
      <c r="K111" s="248"/>
    </row>
    <row r="112" spans="1:11" s="5" customFormat="1" ht="15" customHeight="1" x14ac:dyDescent="0.2">
      <c r="A112" s="99">
        <v>7211</v>
      </c>
      <c r="B112" s="100"/>
      <c r="C112" s="101" t="s">
        <v>543</v>
      </c>
      <c r="D112" s="21" t="s">
        <v>544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f>E112+F112+G112+H112</f>
        <v>0</v>
      </c>
      <c r="K112" s="248"/>
    </row>
    <row r="113" spans="1:11" s="5" customFormat="1" ht="15" customHeight="1" x14ac:dyDescent="0.2">
      <c r="A113" s="99"/>
      <c r="B113" s="100"/>
      <c r="C113" s="101"/>
      <c r="D113" s="21"/>
      <c r="E113" s="31"/>
      <c r="F113" s="31"/>
      <c r="G113" s="31"/>
      <c r="H113" s="31"/>
      <c r="I113" s="31"/>
      <c r="J113" s="31"/>
      <c r="K113" s="248"/>
    </row>
    <row r="114" spans="1:11" s="5" customFormat="1" ht="15" customHeight="1" x14ac:dyDescent="0.2">
      <c r="A114" s="99">
        <v>722</v>
      </c>
      <c r="B114" s="100"/>
      <c r="C114" s="101" t="s">
        <v>545</v>
      </c>
      <c r="D114" s="21" t="s">
        <v>546</v>
      </c>
      <c r="E114" s="31">
        <f>E115+E116+E117</f>
        <v>1410900</v>
      </c>
      <c r="F114" s="31">
        <f>F115+F116+F117</f>
        <v>4150000</v>
      </c>
      <c r="G114" s="31">
        <f>G115+G116+G117</f>
        <v>0</v>
      </c>
      <c r="H114" s="31">
        <f>H115+H116+H117</f>
        <v>0</v>
      </c>
      <c r="I114" s="31">
        <f>I115+I116+I117</f>
        <v>0</v>
      </c>
      <c r="J114" s="31">
        <f>E114+F114+G114+H114</f>
        <v>5560900</v>
      </c>
      <c r="K114" s="247">
        <f>J114/J$141*100</f>
        <v>0.1316998562903976</v>
      </c>
    </row>
    <row r="115" spans="1:11" s="5" customFormat="1" ht="15" customHeight="1" x14ac:dyDescent="0.2">
      <c r="A115" s="99">
        <v>7220</v>
      </c>
      <c r="B115" s="100"/>
      <c r="C115" s="101" t="s">
        <v>547</v>
      </c>
      <c r="D115" s="21" t="s">
        <v>548</v>
      </c>
      <c r="E115" s="31">
        <v>0</v>
      </c>
      <c r="F115" s="31">
        <v>4150000</v>
      </c>
      <c r="G115" s="31">
        <v>0</v>
      </c>
      <c r="H115" s="31">
        <v>0</v>
      </c>
      <c r="I115" s="31">
        <v>0</v>
      </c>
      <c r="J115" s="31">
        <f>E115+F115+G115+H115</f>
        <v>4150000</v>
      </c>
      <c r="K115" s="248"/>
    </row>
    <row r="116" spans="1:11" s="5" customFormat="1" ht="15" customHeight="1" x14ac:dyDescent="0.2">
      <c r="A116" s="99">
        <v>7221</v>
      </c>
      <c r="B116" s="100"/>
      <c r="C116" s="101" t="s">
        <v>549</v>
      </c>
      <c r="D116" s="21" t="s">
        <v>550</v>
      </c>
      <c r="E116" s="31">
        <v>1402000</v>
      </c>
      <c r="F116" s="31">
        <v>0</v>
      </c>
      <c r="G116" s="31">
        <v>0</v>
      </c>
      <c r="H116" s="31">
        <v>0</v>
      </c>
      <c r="I116" s="31">
        <v>0</v>
      </c>
      <c r="J116" s="31">
        <f>E116+F116+G116+H116</f>
        <v>1402000</v>
      </c>
      <c r="K116" s="248"/>
    </row>
    <row r="117" spans="1:11" s="5" customFormat="1" ht="15" customHeight="1" x14ac:dyDescent="0.2">
      <c r="A117" s="99">
        <v>7222</v>
      </c>
      <c r="B117" s="100"/>
      <c r="C117" s="101" t="s">
        <v>551</v>
      </c>
      <c r="D117" s="21" t="s">
        <v>552</v>
      </c>
      <c r="E117" s="31">
        <v>8900</v>
      </c>
      <c r="F117" s="31">
        <v>0</v>
      </c>
      <c r="G117" s="31">
        <v>0</v>
      </c>
      <c r="H117" s="31">
        <v>0</v>
      </c>
      <c r="I117" s="31">
        <v>0</v>
      </c>
      <c r="J117" s="31">
        <f>E117+F117+G117+H117</f>
        <v>8900</v>
      </c>
      <c r="K117" s="248"/>
    </row>
    <row r="118" spans="1:11" s="5" customFormat="1" ht="15" customHeight="1" x14ac:dyDescent="0.2">
      <c r="A118" s="99"/>
      <c r="B118" s="100"/>
      <c r="C118" s="101"/>
      <c r="D118" s="21" t="s">
        <v>462</v>
      </c>
      <c r="E118" s="31"/>
      <c r="F118" s="31"/>
      <c r="G118" s="31"/>
      <c r="H118" s="31"/>
      <c r="I118" s="31"/>
      <c r="J118" s="31"/>
      <c r="K118" s="248"/>
    </row>
    <row r="119" spans="1:11" s="5" customFormat="1" ht="15" customHeight="1" x14ac:dyDescent="0.25">
      <c r="A119" s="88">
        <v>73</v>
      </c>
      <c r="B119" s="89"/>
      <c r="C119" s="90" t="s">
        <v>553</v>
      </c>
      <c r="D119" s="22" t="s">
        <v>554</v>
      </c>
      <c r="E119" s="32">
        <f>E122+E126</f>
        <v>9400000</v>
      </c>
      <c r="F119" s="32">
        <f>F122+F126</f>
        <v>1135000</v>
      </c>
      <c r="G119" s="32">
        <f>G122+G126</f>
        <v>0</v>
      </c>
      <c r="H119" s="32">
        <f>H122+H126</f>
        <v>0</v>
      </c>
      <c r="I119" s="32">
        <f>I122+I126</f>
        <v>0</v>
      </c>
      <c r="J119" s="32">
        <f>E119+F119+G119+H119</f>
        <v>10535000</v>
      </c>
      <c r="K119" s="245">
        <f>J119/J$141*100</f>
        <v>0.2495024161591359</v>
      </c>
    </row>
    <row r="120" spans="1:11" s="5" customFormat="1" ht="15" customHeight="1" x14ac:dyDescent="0.2">
      <c r="A120" s="99"/>
      <c r="B120" s="100"/>
      <c r="C120" s="101" t="s">
        <v>555</v>
      </c>
      <c r="D120" s="21" t="s">
        <v>555</v>
      </c>
      <c r="E120" s="31"/>
      <c r="F120" s="31"/>
      <c r="G120" s="31"/>
      <c r="H120" s="31"/>
      <c r="I120" s="31"/>
      <c r="J120" s="31"/>
      <c r="K120" s="248"/>
    </row>
    <row r="121" spans="1:11" s="5" customFormat="1" ht="15" customHeight="1" x14ac:dyDescent="0.2">
      <c r="A121" s="99"/>
      <c r="B121" s="100"/>
      <c r="C121" s="101"/>
      <c r="D121" s="21"/>
      <c r="E121" s="31"/>
      <c r="F121" s="31"/>
      <c r="G121" s="31"/>
      <c r="H121" s="31"/>
      <c r="I121" s="31"/>
      <c r="J121" s="31"/>
      <c r="K121" s="248"/>
    </row>
    <row r="122" spans="1:11" s="5" customFormat="1" ht="15" customHeight="1" x14ac:dyDescent="0.2">
      <c r="A122" s="99">
        <v>730</v>
      </c>
      <c r="B122" s="100"/>
      <c r="C122" s="101" t="s">
        <v>556</v>
      </c>
      <c r="D122" s="21" t="s">
        <v>557</v>
      </c>
      <c r="E122" s="31">
        <f t="shared" ref="E122:J122" si="14">E123+E124</f>
        <v>0</v>
      </c>
      <c r="F122" s="31">
        <f t="shared" si="14"/>
        <v>1050000</v>
      </c>
      <c r="G122" s="31">
        <f t="shared" si="14"/>
        <v>0</v>
      </c>
      <c r="H122" s="31">
        <f t="shared" si="14"/>
        <v>0</v>
      </c>
      <c r="I122" s="31">
        <f t="shared" si="14"/>
        <v>0</v>
      </c>
      <c r="J122" s="31">
        <f t="shared" si="14"/>
        <v>1050000</v>
      </c>
      <c r="K122" s="247">
        <f>J122/J$141*100</f>
        <v>2.486735044775441E-2</v>
      </c>
    </row>
    <row r="123" spans="1:11" s="5" customFormat="1" ht="15" customHeight="1" x14ac:dyDescent="0.2">
      <c r="A123" s="99">
        <v>7300</v>
      </c>
      <c r="B123" s="100"/>
      <c r="C123" s="101" t="s">
        <v>558</v>
      </c>
      <c r="D123" s="21" t="s">
        <v>559</v>
      </c>
      <c r="E123" s="31">
        <v>0</v>
      </c>
      <c r="F123" s="31">
        <v>1050000</v>
      </c>
      <c r="G123" s="31">
        <v>0</v>
      </c>
      <c r="H123" s="31">
        <v>0</v>
      </c>
      <c r="I123" s="31">
        <v>0</v>
      </c>
      <c r="J123" s="31">
        <f>E123+F123+G123+H123</f>
        <v>1050000</v>
      </c>
      <c r="K123" s="248"/>
    </row>
    <row r="124" spans="1:11" s="5" customFormat="1" ht="15" customHeight="1" x14ac:dyDescent="0.2">
      <c r="A124" s="99">
        <v>7301</v>
      </c>
      <c r="B124" s="100"/>
      <c r="C124" s="101" t="s">
        <v>560</v>
      </c>
      <c r="D124" s="21" t="s">
        <v>561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f>E124+F124+G124+H124</f>
        <v>0</v>
      </c>
      <c r="K124" s="248"/>
    </row>
    <row r="125" spans="1:11" s="5" customFormat="1" ht="15" customHeight="1" x14ac:dyDescent="0.2">
      <c r="A125" s="99"/>
      <c r="B125" s="100"/>
      <c r="C125" s="101"/>
      <c r="D125" s="21"/>
      <c r="E125" s="31"/>
      <c r="F125" s="31"/>
      <c r="G125" s="31"/>
      <c r="H125" s="31"/>
      <c r="I125" s="31"/>
      <c r="J125" s="31"/>
      <c r="K125" s="248"/>
    </row>
    <row r="126" spans="1:11" s="5" customFormat="1" ht="15" customHeight="1" x14ac:dyDescent="0.2">
      <c r="A126" s="99">
        <v>731</v>
      </c>
      <c r="B126" s="100"/>
      <c r="C126" s="101" t="s">
        <v>563</v>
      </c>
      <c r="D126" s="21" t="s">
        <v>564</v>
      </c>
      <c r="E126" s="31">
        <f>E127+E128</f>
        <v>9400000</v>
      </c>
      <c r="F126" s="31">
        <f>F127+F128</f>
        <v>85000</v>
      </c>
      <c r="G126" s="31">
        <f>G127+G128</f>
        <v>0</v>
      </c>
      <c r="H126" s="31">
        <f>H127+H128</f>
        <v>0</v>
      </c>
      <c r="I126" s="31">
        <f>I127+I128</f>
        <v>0</v>
      </c>
      <c r="J126" s="31">
        <f>E126+F126+G126+H126</f>
        <v>9485000</v>
      </c>
      <c r="K126" s="247">
        <f>J126/J$141*100</f>
        <v>0.22463506571138145</v>
      </c>
    </row>
    <row r="127" spans="1:11" s="5" customFormat="1" ht="15" customHeight="1" x14ac:dyDescent="0.2">
      <c r="A127" s="99">
        <v>7310</v>
      </c>
      <c r="B127" s="100"/>
      <c r="C127" s="101" t="s">
        <v>565</v>
      </c>
      <c r="D127" s="21" t="s">
        <v>566</v>
      </c>
      <c r="E127" s="31">
        <v>5982000</v>
      </c>
      <c r="F127" s="31">
        <v>85000</v>
      </c>
      <c r="G127" s="31">
        <v>0</v>
      </c>
      <c r="H127" s="31">
        <v>0</v>
      </c>
      <c r="I127" s="31">
        <v>0</v>
      </c>
      <c r="J127" s="31">
        <f>E127+F127+G127+H127</f>
        <v>6067000</v>
      </c>
      <c r="K127" s="247">
        <f>J127/J$141*100</f>
        <v>0.14368591920621521</v>
      </c>
    </row>
    <row r="128" spans="1:11" s="5" customFormat="1" ht="15" customHeight="1" x14ac:dyDescent="0.2">
      <c r="A128" s="99">
        <v>7311</v>
      </c>
      <c r="B128" s="100"/>
      <c r="C128" s="101" t="s">
        <v>567</v>
      </c>
      <c r="D128" s="21" t="s">
        <v>568</v>
      </c>
      <c r="E128" s="31">
        <v>3418000</v>
      </c>
      <c r="F128" s="31">
        <v>0</v>
      </c>
      <c r="G128" s="31">
        <v>0</v>
      </c>
      <c r="H128" s="31">
        <v>0</v>
      </c>
      <c r="I128" s="31">
        <v>0</v>
      </c>
      <c r="J128" s="31">
        <f>E128+F128+G128+H128</f>
        <v>3418000</v>
      </c>
      <c r="K128" s="247">
        <f>J128/J$141*100</f>
        <v>8.0949146505166256E-2</v>
      </c>
    </row>
    <row r="129" spans="1:11" s="5" customFormat="1" ht="15" customHeight="1" x14ac:dyDescent="0.2">
      <c r="A129" s="99"/>
      <c r="B129" s="100"/>
      <c r="C129" s="101"/>
      <c r="D129" s="21"/>
      <c r="E129" s="31"/>
      <c r="F129" s="31"/>
      <c r="G129" s="31"/>
      <c r="H129" s="31"/>
      <c r="I129" s="31"/>
      <c r="J129" s="31"/>
      <c r="K129" s="248"/>
    </row>
    <row r="130" spans="1:11" s="5" customFormat="1" ht="15" customHeight="1" x14ac:dyDescent="0.25">
      <c r="A130" s="13">
        <v>74</v>
      </c>
      <c r="B130" s="18"/>
      <c r="C130" s="361" t="s">
        <v>569</v>
      </c>
      <c r="D130" s="20" t="s">
        <v>570</v>
      </c>
      <c r="E130" s="30">
        <f>E132</f>
        <v>0</v>
      </c>
      <c r="F130" s="30">
        <f>F132</f>
        <v>44341537</v>
      </c>
      <c r="G130" s="30">
        <f>G132</f>
        <v>165295731</v>
      </c>
      <c r="H130" s="30">
        <f>H132</f>
        <v>46519180</v>
      </c>
      <c r="I130" s="30">
        <f>I132</f>
        <v>256156448</v>
      </c>
      <c r="J130" s="30">
        <f>E130+F130+G130+H130-I130</f>
        <v>0</v>
      </c>
      <c r="K130" s="270"/>
    </row>
    <row r="131" spans="1:11" s="5" customFormat="1" ht="15" customHeight="1" x14ac:dyDescent="0.2">
      <c r="A131" s="210"/>
      <c r="B131" s="319"/>
      <c r="C131" s="357"/>
      <c r="D131" s="23" t="s">
        <v>462</v>
      </c>
      <c r="E131" s="33"/>
      <c r="F131" s="33"/>
      <c r="G131" s="33"/>
      <c r="H131" s="33"/>
      <c r="I131" s="33"/>
      <c r="J131" s="33"/>
      <c r="K131" s="251"/>
    </row>
    <row r="132" spans="1:11" s="5" customFormat="1" ht="15" customHeight="1" x14ac:dyDescent="0.2">
      <c r="A132" s="210">
        <v>740</v>
      </c>
      <c r="B132" s="319"/>
      <c r="C132" s="357" t="s">
        <v>571</v>
      </c>
      <c r="D132" s="23" t="s">
        <v>572</v>
      </c>
      <c r="E132" s="33">
        <f>E134+E135+E136+E137</f>
        <v>0</v>
      </c>
      <c r="F132" s="33">
        <f>F134+F135+F136+F137</f>
        <v>44341537</v>
      </c>
      <c r="G132" s="33">
        <f>G134+G135+G136+G137</f>
        <v>165295731</v>
      </c>
      <c r="H132" s="33">
        <f>H134+H135+H136+H137</f>
        <v>46519180</v>
      </c>
      <c r="I132" s="33">
        <f>I134+I135+I136+I137</f>
        <v>256156448</v>
      </c>
      <c r="J132" s="33">
        <f>E132+F132+G132+H132-I132</f>
        <v>0</v>
      </c>
      <c r="K132" s="251"/>
    </row>
    <row r="133" spans="1:11" s="5" customFormat="1" ht="15" customHeight="1" x14ac:dyDescent="0.2">
      <c r="A133" s="210"/>
      <c r="B133" s="319"/>
      <c r="C133" s="357" t="s">
        <v>573</v>
      </c>
      <c r="D133" s="23" t="s">
        <v>574</v>
      </c>
      <c r="E133" s="33"/>
      <c r="F133" s="33"/>
      <c r="G133" s="33"/>
      <c r="H133" s="33"/>
      <c r="I133" s="33"/>
      <c r="J133" s="33"/>
      <c r="K133" s="251"/>
    </row>
    <row r="134" spans="1:11" s="5" customFormat="1" ht="15" customHeight="1" x14ac:dyDescent="0.2">
      <c r="A134" s="210">
        <v>7400</v>
      </c>
      <c r="B134" s="319"/>
      <c r="C134" s="357" t="s">
        <v>575</v>
      </c>
      <c r="D134" s="23" t="s">
        <v>576</v>
      </c>
      <c r="E134" s="33"/>
      <c r="F134" s="33">
        <v>41564700</v>
      </c>
      <c r="G134" s="380">
        <v>156802390</v>
      </c>
      <c r="H134" s="44">
        <v>2100876</v>
      </c>
      <c r="I134" s="33">
        <f>E134+F134+G134+H134</f>
        <v>200467966</v>
      </c>
      <c r="J134" s="33">
        <f>E134+F134+G134+H134-I134</f>
        <v>0</v>
      </c>
      <c r="K134" s="251"/>
    </row>
    <row r="135" spans="1:11" s="5" customFormat="1" ht="15" customHeight="1" x14ac:dyDescent="0.2">
      <c r="A135" s="210">
        <v>7401</v>
      </c>
      <c r="B135" s="319"/>
      <c r="C135" s="357" t="s">
        <v>577</v>
      </c>
      <c r="D135" s="23" t="s">
        <v>578</v>
      </c>
      <c r="E135" s="33">
        <v>0</v>
      </c>
      <c r="F135" s="33">
        <v>1612865</v>
      </c>
      <c r="G135" s="33">
        <v>0</v>
      </c>
      <c r="H135" s="44">
        <v>1942527</v>
      </c>
      <c r="I135" s="33">
        <f>E135+F135+G135+H135</f>
        <v>3555392</v>
      </c>
      <c r="J135" s="33">
        <f>E135+F135+G135+H135-I135</f>
        <v>0</v>
      </c>
      <c r="K135" s="251"/>
    </row>
    <row r="136" spans="1:11" s="5" customFormat="1" ht="15" customHeight="1" x14ac:dyDescent="0.2">
      <c r="A136" s="210">
        <v>7402</v>
      </c>
      <c r="B136" s="319"/>
      <c r="C136" s="357" t="s">
        <v>579</v>
      </c>
      <c r="D136" s="23" t="s">
        <v>580</v>
      </c>
      <c r="E136" s="33">
        <v>0</v>
      </c>
      <c r="F136" s="33">
        <v>26500</v>
      </c>
      <c r="G136" s="407">
        <v>1900000</v>
      </c>
      <c r="H136" s="407">
        <v>42475777</v>
      </c>
      <c r="I136" s="33">
        <f>E136+F136+G136+H136</f>
        <v>44402277</v>
      </c>
      <c r="J136" s="33">
        <f>E136+F136+G136+H136-I136</f>
        <v>0</v>
      </c>
      <c r="K136" s="251"/>
    </row>
    <row r="137" spans="1:11" s="5" customFormat="1" ht="15" customHeight="1" x14ac:dyDescent="0.2">
      <c r="A137" s="210">
        <v>7403</v>
      </c>
      <c r="B137" s="319"/>
      <c r="C137" s="357" t="s">
        <v>581</v>
      </c>
      <c r="D137" s="23" t="s">
        <v>582</v>
      </c>
      <c r="E137" s="33">
        <v>0</v>
      </c>
      <c r="F137" s="33">
        <v>1137472</v>
      </c>
      <c r="G137" s="33">
        <f>6593341</f>
        <v>6593341</v>
      </c>
      <c r="H137" s="33">
        <v>0</v>
      </c>
      <c r="I137" s="33">
        <f>E137+F137+G137+H137</f>
        <v>7730813</v>
      </c>
      <c r="J137" s="33">
        <f>E137+F137+G137+H137-I137</f>
        <v>0</v>
      </c>
      <c r="K137" s="251"/>
    </row>
    <row r="138" spans="1:11" s="5" customFormat="1" ht="15.75" customHeight="1" thickBot="1" x14ac:dyDescent="0.25">
      <c r="A138" s="310"/>
      <c r="B138" s="320"/>
      <c r="C138" s="358"/>
      <c r="D138" s="24"/>
      <c r="E138" s="35"/>
      <c r="F138" s="35"/>
      <c r="G138" s="35"/>
      <c r="H138" s="35"/>
      <c r="I138" s="35"/>
      <c r="J138" s="35"/>
      <c r="K138" s="271"/>
    </row>
    <row r="139" spans="1:11" s="5" customFormat="1" ht="15.75" customHeight="1" thickTop="1" x14ac:dyDescent="0.2">
      <c r="A139" s="311"/>
      <c r="B139" s="387"/>
      <c r="C139" s="371"/>
      <c r="D139" s="47"/>
      <c r="E139" s="36"/>
      <c r="F139" s="36"/>
      <c r="G139" s="36"/>
      <c r="H139" s="36"/>
      <c r="I139" s="36"/>
      <c r="J139" s="36"/>
      <c r="K139" s="299"/>
    </row>
    <row r="140" spans="1:11" s="5" customFormat="1" ht="15.75" customHeight="1" x14ac:dyDescent="0.25">
      <c r="A140" s="52"/>
      <c r="B140" s="52"/>
      <c r="C140" s="12"/>
      <c r="D140" s="4"/>
      <c r="E140" s="37"/>
      <c r="F140" s="37"/>
      <c r="G140" s="134"/>
      <c r="H140" s="37"/>
      <c r="I140" s="37"/>
      <c r="J140" s="129"/>
      <c r="K140" s="37"/>
    </row>
    <row r="141" spans="1:11" s="5" customFormat="1" ht="15" customHeight="1" x14ac:dyDescent="0.25">
      <c r="A141" s="304" t="s">
        <v>866</v>
      </c>
      <c r="B141" s="304"/>
      <c r="C141" s="353" t="s">
        <v>583</v>
      </c>
      <c r="D141" s="296"/>
      <c r="E141" s="297"/>
      <c r="F141" s="297"/>
      <c r="G141" s="297"/>
      <c r="H141" s="297"/>
      <c r="I141" s="297"/>
      <c r="J141" s="297">
        <v>4222404000</v>
      </c>
      <c r="K141" s="129"/>
    </row>
    <row r="142" spans="1:11" s="5" customFormat="1" ht="15" customHeight="1" x14ac:dyDescent="0.2">
      <c r="A142" s="342"/>
      <c r="B142" s="342"/>
      <c r="C142" s="63"/>
      <c r="D142" s="14"/>
      <c r="E142" s="14"/>
      <c r="F142" s="14"/>
      <c r="G142" s="14"/>
      <c r="H142" s="14"/>
      <c r="I142" s="45"/>
      <c r="J142" s="14"/>
      <c r="K142" s="14"/>
    </row>
    <row r="143" spans="1:11" s="5" customFormat="1" ht="15.75" customHeight="1" thickBot="1" x14ac:dyDescent="0.25">
      <c r="A143" s="99"/>
      <c r="B143" s="100"/>
      <c r="C143" s="101"/>
      <c r="D143" s="21"/>
      <c r="E143" s="31"/>
      <c r="F143" s="31"/>
      <c r="G143" s="31"/>
      <c r="H143" s="31"/>
      <c r="I143" s="31"/>
      <c r="J143" s="35"/>
      <c r="K143" s="271"/>
    </row>
    <row r="144" spans="1:11" s="5" customFormat="1" ht="16.5" customHeight="1" thickTop="1" thickBot="1" x14ac:dyDescent="0.3">
      <c r="A144" s="13"/>
      <c r="B144" s="18" t="s">
        <v>83</v>
      </c>
      <c r="C144" s="361" t="s">
        <v>585</v>
      </c>
      <c r="D144" s="20" t="s">
        <v>586</v>
      </c>
      <c r="E144" s="30">
        <f>E147+E202+E244+E258</f>
        <v>1059708135</v>
      </c>
      <c r="F144" s="30">
        <f>F147+F202+F244+F258</f>
        <v>209969710</v>
      </c>
      <c r="G144" s="30">
        <f>G147+G202+G244+G258</f>
        <v>573449596</v>
      </c>
      <c r="H144" s="30">
        <f>H147+H202+H244+H258</f>
        <v>262861141</v>
      </c>
      <c r="I144" s="46">
        <f>I147+I202+I244+I258</f>
        <v>321322340</v>
      </c>
      <c r="J144" s="382">
        <f>E144+F144+G144+H144-I144</f>
        <v>1784666242</v>
      </c>
      <c r="K144" s="275">
        <f>J144/J$141*100</f>
        <v>42.266591306753213</v>
      </c>
    </row>
    <row r="145" spans="1:11" s="5" customFormat="1" ht="15.75" customHeight="1" thickTop="1" x14ac:dyDescent="0.25">
      <c r="A145" s="13"/>
      <c r="B145" s="18"/>
      <c r="C145" s="361" t="s">
        <v>587</v>
      </c>
      <c r="D145" s="20" t="s">
        <v>587</v>
      </c>
      <c r="E145" s="30">
        <f>+E144-1059708135</f>
        <v>0</v>
      </c>
      <c r="F145" s="30"/>
      <c r="G145" s="30"/>
      <c r="H145" s="30"/>
      <c r="I145" s="30"/>
      <c r="J145" s="391"/>
      <c r="K145" s="301"/>
    </row>
    <row r="146" spans="1:11" s="5" customFormat="1" ht="15" customHeight="1" x14ac:dyDescent="0.2">
      <c r="A146" s="99"/>
      <c r="B146" s="100"/>
      <c r="C146" s="101"/>
      <c r="D146" s="21"/>
      <c r="E146" s="31"/>
      <c r="F146" s="31"/>
      <c r="G146" s="31"/>
      <c r="H146" s="31"/>
      <c r="I146" s="31"/>
      <c r="J146" s="31"/>
      <c r="K146" s="248"/>
    </row>
    <row r="147" spans="1:11" s="5" customFormat="1" ht="15" customHeight="1" x14ac:dyDescent="0.25">
      <c r="A147" s="88">
        <v>40</v>
      </c>
      <c r="B147" s="89"/>
      <c r="C147" s="90" t="s">
        <v>588</v>
      </c>
      <c r="D147" s="22" t="s">
        <v>589</v>
      </c>
      <c r="E147" s="32">
        <f>E150+E161+E169+E184+E191+E197</f>
        <v>520234220</v>
      </c>
      <c r="F147" s="32">
        <f>F150+F161+F169+F184+F191+F197</f>
        <v>92209943</v>
      </c>
      <c r="G147" s="32">
        <f>G150+G161+G169+G184+G191+G197</f>
        <v>6525824</v>
      </c>
      <c r="H147" s="32">
        <f>H150+H161+H169+H184+H191+H197</f>
        <v>233130653</v>
      </c>
      <c r="I147" s="32">
        <f>+I161+I169</f>
        <v>64925924</v>
      </c>
      <c r="J147" s="32">
        <f>E147+F147+G147+H147-I147</f>
        <v>787174716</v>
      </c>
      <c r="K147" s="245">
        <f>J147/J$141*100</f>
        <v>18.642809072746235</v>
      </c>
    </row>
    <row r="148" spans="1:11" s="5" customFormat="1" ht="15.75" customHeight="1" x14ac:dyDescent="0.25">
      <c r="A148" s="99"/>
      <c r="B148" s="100"/>
      <c r="C148" s="90" t="s">
        <v>816</v>
      </c>
      <c r="D148" s="22" t="s">
        <v>590</v>
      </c>
      <c r="E148" s="31"/>
      <c r="F148" s="31"/>
      <c r="G148" s="31"/>
      <c r="H148" s="31"/>
      <c r="I148" s="31"/>
      <c r="J148" s="31"/>
      <c r="K148" s="248"/>
    </row>
    <row r="149" spans="1:11" s="5" customFormat="1" ht="15" customHeight="1" x14ac:dyDescent="0.2">
      <c r="A149" s="99"/>
      <c r="B149" s="100"/>
      <c r="C149" s="101"/>
      <c r="D149" s="21"/>
      <c r="E149" s="31"/>
      <c r="F149" s="31"/>
      <c r="G149" s="31"/>
      <c r="H149" s="31"/>
      <c r="I149" s="31"/>
      <c r="J149" s="31"/>
      <c r="K149" s="248"/>
    </row>
    <row r="150" spans="1:11" s="5" customFormat="1" ht="15" customHeight="1" x14ac:dyDescent="0.2">
      <c r="A150" s="99"/>
      <c r="B150" s="100"/>
      <c r="C150" s="96" t="s">
        <v>817</v>
      </c>
      <c r="D150" s="249"/>
      <c r="E150" s="31">
        <f>+E151+E159</f>
        <v>252650187</v>
      </c>
      <c r="F150" s="31">
        <f>+F151+F159</f>
        <v>32503025</v>
      </c>
      <c r="G150" s="31">
        <f>+G151+G159</f>
        <v>1980390</v>
      </c>
      <c r="H150" s="31">
        <f>+H151+H159</f>
        <v>101628374</v>
      </c>
      <c r="I150" s="31">
        <f>+I151+I159</f>
        <v>0</v>
      </c>
      <c r="J150" s="31">
        <f>E150+F150+G150+H150-I150</f>
        <v>388761976</v>
      </c>
      <c r="K150" s="247">
        <f>J150/J$141*100</f>
        <v>9.2071240932890355</v>
      </c>
    </row>
    <row r="151" spans="1:11" s="5" customFormat="1" ht="15" customHeight="1" x14ac:dyDescent="0.2">
      <c r="A151" s="99">
        <v>400</v>
      </c>
      <c r="B151" s="100"/>
      <c r="C151" s="101" t="s">
        <v>591</v>
      </c>
      <c r="D151" s="21" t="s">
        <v>592</v>
      </c>
      <c r="E151" s="31">
        <f>SUM(E152:E158)</f>
        <v>112471130</v>
      </c>
      <c r="F151" s="31">
        <v>11465843</v>
      </c>
      <c r="G151" s="31">
        <v>1980390</v>
      </c>
      <c r="H151" s="31">
        <v>2747634</v>
      </c>
      <c r="I151" s="31">
        <f>SUM(I152:I158)</f>
        <v>0</v>
      </c>
      <c r="J151" s="31">
        <f>E151+F151+G151+H151-I151</f>
        <v>128664997</v>
      </c>
      <c r="K151" s="247">
        <f>J151/J$141*100</f>
        <v>3.047197686436447</v>
      </c>
    </row>
    <row r="152" spans="1:11" s="5" customFormat="1" ht="15" customHeight="1" x14ac:dyDescent="0.2">
      <c r="A152" s="99">
        <v>4000</v>
      </c>
      <c r="B152" s="100"/>
      <c r="C152" s="101" t="s">
        <v>593</v>
      </c>
      <c r="D152" s="21" t="s">
        <v>594</v>
      </c>
      <c r="E152" s="31">
        <v>94041100</v>
      </c>
      <c r="F152" s="202" t="s">
        <v>845</v>
      </c>
      <c r="G152" s="202" t="s">
        <v>845</v>
      </c>
      <c r="H152" s="202" t="s">
        <v>845</v>
      </c>
      <c r="I152" s="202" t="s">
        <v>845</v>
      </c>
      <c r="J152" s="202" t="s">
        <v>845</v>
      </c>
      <c r="K152" s="247"/>
    </row>
    <row r="153" spans="1:11" s="5" customFormat="1" ht="15" customHeight="1" x14ac:dyDescent="0.2">
      <c r="A153" s="99">
        <v>4001</v>
      </c>
      <c r="B153" s="100"/>
      <c r="C153" s="101" t="s">
        <v>595</v>
      </c>
      <c r="D153" s="21" t="s">
        <v>596</v>
      </c>
      <c r="E153" s="31">
        <v>3580267</v>
      </c>
      <c r="F153" s="202" t="s">
        <v>845</v>
      </c>
      <c r="G153" s="202" t="s">
        <v>845</v>
      </c>
      <c r="H153" s="202" t="s">
        <v>845</v>
      </c>
      <c r="I153" s="202" t="s">
        <v>845</v>
      </c>
      <c r="J153" s="202" t="s">
        <v>845</v>
      </c>
      <c r="K153" s="247"/>
    </row>
    <row r="154" spans="1:11" s="5" customFormat="1" ht="15" customHeight="1" x14ac:dyDescent="0.2">
      <c r="A154" s="99">
        <v>4002</v>
      </c>
      <c r="B154" s="100"/>
      <c r="C154" s="101" t="s">
        <v>597</v>
      </c>
      <c r="D154" s="21" t="s">
        <v>598</v>
      </c>
      <c r="E154" s="31">
        <v>9316629</v>
      </c>
      <c r="F154" s="202" t="s">
        <v>845</v>
      </c>
      <c r="G154" s="202" t="s">
        <v>845</v>
      </c>
      <c r="H154" s="202" t="s">
        <v>845</v>
      </c>
      <c r="I154" s="202" t="s">
        <v>845</v>
      </c>
      <c r="J154" s="202" t="s">
        <v>845</v>
      </c>
      <c r="K154" s="247"/>
    </row>
    <row r="155" spans="1:11" s="5" customFormat="1" ht="15" customHeight="1" x14ac:dyDescent="0.2">
      <c r="A155" s="99">
        <v>4003</v>
      </c>
      <c r="B155" s="100"/>
      <c r="C155" s="101" t="s">
        <v>599</v>
      </c>
      <c r="D155" s="21" t="s">
        <v>600</v>
      </c>
      <c r="E155" s="31">
        <v>2435075</v>
      </c>
      <c r="F155" s="202" t="s">
        <v>845</v>
      </c>
      <c r="G155" s="202" t="s">
        <v>845</v>
      </c>
      <c r="H155" s="202" t="s">
        <v>845</v>
      </c>
      <c r="I155" s="202" t="s">
        <v>845</v>
      </c>
      <c r="J155" s="202" t="s">
        <v>845</v>
      </c>
      <c r="K155" s="247"/>
    </row>
    <row r="156" spans="1:11" s="5" customFormat="1" ht="15" customHeight="1" x14ac:dyDescent="0.2">
      <c r="A156" s="99">
        <v>4004</v>
      </c>
      <c r="B156" s="100"/>
      <c r="C156" s="101" t="s">
        <v>601</v>
      </c>
      <c r="D156" s="21" t="s">
        <v>602</v>
      </c>
      <c r="E156" s="31">
        <v>1929475</v>
      </c>
      <c r="F156" s="202" t="s">
        <v>845</v>
      </c>
      <c r="G156" s="202" t="s">
        <v>845</v>
      </c>
      <c r="H156" s="202" t="s">
        <v>845</v>
      </c>
      <c r="I156" s="202" t="s">
        <v>845</v>
      </c>
      <c r="J156" s="202" t="s">
        <v>845</v>
      </c>
      <c r="K156" s="247"/>
    </row>
    <row r="157" spans="1:11" s="5" customFormat="1" ht="15" customHeight="1" x14ac:dyDescent="0.2">
      <c r="A157" s="99">
        <v>4005</v>
      </c>
      <c r="B157" s="100"/>
      <c r="C157" s="101" t="s">
        <v>603</v>
      </c>
      <c r="D157" s="21" t="s">
        <v>604</v>
      </c>
      <c r="E157" s="31">
        <v>71975</v>
      </c>
      <c r="F157" s="202" t="s">
        <v>845</v>
      </c>
      <c r="G157" s="202" t="s">
        <v>845</v>
      </c>
      <c r="H157" s="202" t="s">
        <v>845</v>
      </c>
      <c r="I157" s="202" t="s">
        <v>845</v>
      </c>
      <c r="J157" s="202" t="s">
        <v>845</v>
      </c>
      <c r="K157" s="247"/>
    </row>
    <row r="158" spans="1:11" s="5" customFormat="1" ht="15" customHeight="1" x14ac:dyDescent="0.2">
      <c r="A158" s="99">
        <v>4009</v>
      </c>
      <c r="B158" s="100"/>
      <c r="C158" s="101" t="s">
        <v>605</v>
      </c>
      <c r="D158" s="21" t="s">
        <v>606</v>
      </c>
      <c r="E158" s="31">
        <v>1096609</v>
      </c>
      <c r="F158" s="202" t="s">
        <v>845</v>
      </c>
      <c r="G158" s="202" t="s">
        <v>845</v>
      </c>
      <c r="H158" s="202" t="s">
        <v>845</v>
      </c>
      <c r="I158" s="202" t="s">
        <v>845</v>
      </c>
      <c r="J158" s="202" t="s">
        <v>845</v>
      </c>
      <c r="K158" s="247"/>
    </row>
    <row r="159" spans="1:11" s="5" customFormat="1" ht="15" customHeight="1" x14ac:dyDescent="0.2">
      <c r="A159" s="99">
        <v>413300</v>
      </c>
      <c r="B159" s="100"/>
      <c r="C159" s="101" t="s">
        <v>819</v>
      </c>
      <c r="D159" s="21" t="s">
        <v>462</v>
      </c>
      <c r="E159" s="31">
        <f>+E234</f>
        <v>140179057</v>
      </c>
      <c r="F159" s="31">
        <f>+F234</f>
        <v>21037182</v>
      </c>
      <c r="G159" s="31">
        <f>+G234</f>
        <v>0</v>
      </c>
      <c r="H159" s="31">
        <f>+H234</f>
        <v>98880740</v>
      </c>
      <c r="I159" s="31">
        <v>0</v>
      </c>
      <c r="J159" s="31">
        <f>E159+F159+G159+H159-I159</f>
        <v>260096979</v>
      </c>
      <c r="K159" s="247">
        <f>J159/J$141*100</f>
        <v>6.1599264068525894</v>
      </c>
    </row>
    <row r="160" spans="1:11" s="5" customFormat="1" ht="15" customHeight="1" x14ac:dyDescent="0.2">
      <c r="A160" s="99"/>
      <c r="B160" s="100"/>
      <c r="C160" s="101"/>
      <c r="D160" s="21"/>
      <c r="E160" s="31"/>
      <c r="F160" s="31"/>
      <c r="G160" s="31"/>
      <c r="H160" s="31"/>
      <c r="I160" s="31"/>
      <c r="J160" s="31"/>
      <c r="K160" s="247"/>
    </row>
    <row r="161" spans="1:11" s="5" customFormat="1" ht="15" customHeight="1" x14ac:dyDescent="0.2">
      <c r="A161" s="413"/>
      <c r="B161" s="319"/>
      <c r="C161" s="414" t="s">
        <v>820</v>
      </c>
      <c r="D161" s="406"/>
      <c r="E161" s="33">
        <f>+E162+E167</f>
        <v>40187950</v>
      </c>
      <c r="F161" s="33">
        <f>+F162+F167</f>
        <v>4692950</v>
      </c>
      <c r="G161" s="33">
        <f>+G162+G167</f>
        <v>276183</v>
      </c>
      <c r="H161" s="33">
        <f>+H162+H167</f>
        <v>19768841</v>
      </c>
      <c r="I161" s="33">
        <f>+I162+I167</f>
        <v>64925924</v>
      </c>
      <c r="J161" s="33">
        <f t="shared" ref="J161:J167" si="15">E161+F161+G161+H161-I161</f>
        <v>0</v>
      </c>
      <c r="K161" s="261"/>
    </row>
    <row r="162" spans="1:11" s="5" customFormat="1" ht="15" customHeight="1" x14ac:dyDescent="0.2">
      <c r="A162" s="210">
        <v>401</v>
      </c>
      <c r="B162" s="319"/>
      <c r="C162" s="357" t="s">
        <v>607</v>
      </c>
      <c r="D162" s="23" t="s">
        <v>254</v>
      </c>
      <c r="E162" s="33">
        <f>SUM(E163:E166)</f>
        <v>18080425</v>
      </c>
      <c r="F162" s="33">
        <f>SUM(F163:F166)</f>
        <v>1582206</v>
      </c>
      <c r="G162" s="33">
        <f>SUM(G163:G166)</f>
        <v>276183</v>
      </c>
      <c r="H162" s="33">
        <f>SUM(H163:H166)</f>
        <v>390225</v>
      </c>
      <c r="I162" s="33">
        <f>SUM(I163:I166)</f>
        <v>20329039</v>
      </c>
      <c r="J162" s="33">
        <f t="shared" si="15"/>
        <v>0</v>
      </c>
      <c r="K162" s="261"/>
    </row>
    <row r="163" spans="1:11" s="5" customFormat="1" ht="15" customHeight="1" x14ac:dyDescent="0.2">
      <c r="A163" s="210">
        <v>4010</v>
      </c>
      <c r="B163" s="319"/>
      <c r="C163" s="357" t="s">
        <v>608</v>
      </c>
      <c r="D163" s="23" t="s">
        <v>609</v>
      </c>
      <c r="E163" s="33">
        <v>11274078</v>
      </c>
      <c r="F163" s="33">
        <v>996790</v>
      </c>
      <c r="G163" s="33">
        <v>153726</v>
      </c>
      <c r="H163" s="33">
        <v>217201</v>
      </c>
      <c r="I163" s="33">
        <f>E163+F163+G163+H163</f>
        <v>12641795</v>
      </c>
      <c r="J163" s="33">
        <f t="shared" si="15"/>
        <v>0</v>
      </c>
      <c r="K163" s="251"/>
    </row>
    <row r="164" spans="1:11" s="5" customFormat="1" ht="15" customHeight="1" x14ac:dyDescent="0.2">
      <c r="A164" s="210">
        <v>4011</v>
      </c>
      <c r="B164" s="319"/>
      <c r="C164" s="357" t="s">
        <v>613</v>
      </c>
      <c r="D164" s="23" t="s">
        <v>614</v>
      </c>
      <c r="E164" s="33">
        <v>6652055</v>
      </c>
      <c r="F164" s="33">
        <v>566430</v>
      </c>
      <c r="G164" s="33">
        <v>119680</v>
      </c>
      <c r="H164" s="33">
        <v>169097</v>
      </c>
      <c r="I164" s="33">
        <f>E164+F164+G164+H164</f>
        <v>7507262</v>
      </c>
      <c r="J164" s="33">
        <f t="shared" si="15"/>
        <v>0</v>
      </c>
      <c r="K164" s="251"/>
    </row>
    <row r="165" spans="1:11" s="5" customFormat="1" ht="15" customHeight="1" x14ac:dyDescent="0.2">
      <c r="A165" s="210">
        <v>4012</v>
      </c>
      <c r="B165" s="319"/>
      <c r="C165" s="357" t="s">
        <v>615</v>
      </c>
      <c r="D165" s="23" t="s">
        <v>616</v>
      </c>
      <c r="E165" s="33">
        <v>57831</v>
      </c>
      <c r="F165" s="33">
        <v>8702</v>
      </c>
      <c r="G165" s="33">
        <v>1041</v>
      </c>
      <c r="H165" s="33">
        <v>1473</v>
      </c>
      <c r="I165" s="33">
        <f>E165+F165+G165+H165</f>
        <v>69047</v>
      </c>
      <c r="J165" s="33">
        <f t="shared" si="15"/>
        <v>0</v>
      </c>
      <c r="K165" s="251"/>
    </row>
    <row r="166" spans="1:11" s="5" customFormat="1" ht="15" customHeight="1" x14ac:dyDescent="0.2">
      <c r="A166" s="210">
        <v>4013</v>
      </c>
      <c r="B166" s="319"/>
      <c r="C166" s="357" t="s">
        <v>617</v>
      </c>
      <c r="D166" s="23" t="s">
        <v>618</v>
      </c>
      <c r="E166" s="33">
        <v>96461</v>
      </c>
      <c r="F166" s="33">
        <v>10284</v>
      </c>
      <c r="G166" s="33">
        <v>1736</v>
      </c>
      <c r="H166" s="33">
        <v>2454</v>
      </c>
      <c r="I166" s="33">
        <f>E166+F166+G166+H166</f>
        <v>110935</v>
      </c>
      <c r="J166" s="33">
        <f t="shared" si="15"/>
        <v>0</v>
      </c>
      <c r="K166" s="251"/>
    </row>
    <row r="167" spans="1:11" s="5" customFormat="1" ht="15" customHeight="1" x14ac:dyDescent="0.2">
      <c r="A167" s="210">
        <v>413301</v>
      </c>
      <c r="B167" s="319"/>
      <c r="C167" s="357" t="s">
        <v>821</v>
      </c>
      <c r="D167" s="23" t="s">
        <v>462</v>
      </c>
      <c r="E167" s="33">
        <f>+E235</f>
        <v>22107525</v>
      </c>
      <c r="F167" s="33">
        <f>+F235</f>
        <v>3110744</v>
      </c>
      <c r="G167" s="33">
        <f>+G235</f>
        <v>0</v>
      </c>
      <c r="H167" s="33">
        <f>+H235</f>
        <v>19378616</v>
      </c>
      <c r="I167" s="33">
        <f>E167+F167+G167+H167</f>
        <v>44596885</v>
      </c>
      <c r="J167" s="33">
        <f t="shared" si="15"/>
        <v>0</v>
      </c>
      <c r="K167" s="251"/>
    </row>
    <row r="168" spans="1:11" s="5" customFormat="1" ht="15" customHeight="1" x14ac:dyDescent="0.2">
      <c r="A168" s="99"/>
      <c r="B168" s="100"/>
      <c r="C168" s="101"/>
      <c r="D168" s="21"/>
      <c r="E168" s="31"/>
      <c r="F168" s="31"/>
      <c r="G168" s="31"/>
      <c r="H168" s="31"/>
      <c r="I168" s="31"/>
      <c r="J168" s="31"/>
      <c r="K168" s="248"/>
    </row>
    <row r="169" spans="1:11" s="5" customFormat="1" ht="15" customHeight="1" x14ac:dyDescent="0.2">
      <c r="A169" s="99"/>
      <c r="B169" s="100"/>
      <c r="C169" s="96" t="s">
        <v>822</v>
      </c>
      <c r="D169" s="249"/>
      <c r="E169" s="31">
        <f t="shared" ref="E169:J169" si="16">+E170+E182</f>
        <v>156749799</v>
      </c>
      <c r="F169" s="31">
        <f t="shared" si="16"/>
        <v>53195664</v>
      </c>
      <c r="G169" s="31">
        <f t="shared" si="16"/>
        <v>4241251</v>
      </c>
      <c r="H169" s="31">
        <f t="shared" si="16"/>
        <v>111733438</v>
      </c>
      <c r="I169" s="31">
        <f t="shared" si="16"/>
        <v>0</v>
      </c>
      <c r="J169" s="31">
        <f t="shared" si="16"/>
        <v>325920152</v>
      </c>
      <c r="K169" s="247">
        <f>J169/J$141*100</f>
        <v>7.7188291788279848</v>
      </c>
    </row>
    <row r="170" spans="1:11" s="5" customFormat="1" ht="15" customHeight="1" x14ac:dyDescent="0.2">
      <c r="A170" s="99">
        <v>402</v>
      </c>
      <c r="B170" s="100"/>
      <c r="C170" s="101" t="s">
        <v>619</v>
      </c>
      <c r="D170" s="21" t="s">
        <v>620</v>
      </c>
      <c r="E170" s="31">
        <f>SUM(E171:E180)</f>
        <v>114628613</v>
      </c>
      <c r="F170" s="31">
        <f>SUM(F171:F180)</f>
        <v>27973850</v>
      </c>
      <c r="G170" s="31">
        <v>4241251</v>
      </c>
      <c r="H170" s="31">
        <v>4232748</v>
      </c>
      <c r="I170" s="31">
        <f>SUM(I171:I180)</f>
        <v>0</v>
      </c>
      <c r="J170" s="31">
        <f>E170+F170+G170+H170-I170</f>
        <v>151076462</v>
      </c>
      <c r="K170" s="247">
        <f>J170/J$141*100</f>
        <v>3.577972690438906</v>
      </c>
    </row>
    <row r="171" spans="1:11" s="5" customFormat="1" ht="15" customHeight="1" x14ac:dyDescent="0.2">
      <c r="A171" s="99">
        <v>4020</v>
      </c>
      <c r="B171" s="100"/>
      <c r="C171" s="101" t="s">
        <v>937</v>
      </c>
      <c r="D171" s="21" t="s">
        <v>938</v>
      </c>
      <c r="E171" s="31">
        <v>16756828</v>
      </c>
      <c r="F171" s="31">
        <v>4120322</v>
      </c>
      <c r="G171" s="202" t="s">
        <v>845</v>
      </c>
      <c r="H171" s="202" t="s">
        <v>845</v>
      </c>
      <c r="I171" s="202" t="s">
        <v>845</v>
      </c>
      <c r="J171" s="202" t="s">
        <v>845</v>
      </c>
      <c r="K171" s="404"/>
    </row>
    <row r="172" spans="1:11" s="5" customFormat="1" ht="15" customHeight="1" x14ac:dyDescent="0.2">
      <c r="A172" s="99">
        <v>4021</v>
      </c>
      <c r="B172" s="100"/>
      <c r="C172" s="101" t="s">
        <v>939</v>
      </c>
      <c r="D172" s="21" t="s">
        <v>940</v>
      </c>
      <c r="E172" s="31">
        <v>18708494</v>
      </c>
      <c r="F172" s="31">
        <v>851533</v>
      </c>
      <c r="G172" s="202" t="s">
        <v>845</v>
      </c>
      <c r="H172" s="202" t="s">
        <v>845</v>
      </c>
      <c r="I172" s="202" t="s">
        <v>845</v>
      </c>
      <c r="J172" s="202" t="s">
        <v>845</v>
      </c>
      <c r="K172" s="404"/>
    </row>
    <row r="173" spans="1:11" s="5" customFormat="1" ht="15" customHeight="1" x14ac:dyDescent="0.2">
      <c r="A173" s="99">
        <v>4022</v>
      </c>
      <c r="B173" s="100"/>
      <c r="C173" s="101" t="s">
        <v>941</v>
      </c>
      <c r="D173" s="21" t="s">
        <v>942</v>
      </c>
      <c r="E173" s="31">
        <v>7654163</v>
      </c>
      <c r="F173" s="31">
        <v>3545800</v>
      </c>
      <c r="G173" s="202" t="s">
        <v>845</v>
      </c>
      <c r="H173" s="202" t="s">
        <v>845</v>
      </c>
      <c r="I173" s="202" t="s">
        <v>845</v>
      </c>
      <c r="J173" s="202" t="s">
        <v>845</v>
      </c>
      <c r="K173" s="404"/>
    </row>
    <row r="174" spans="1:11" s="5" customFormat="1" ht="15" customHeight="1" x14ac:dyDescent="0.2">
      <c r="A174" s="99">
        <v>4023</v>
      </c>
      <c r="B174" s="100"/>
      <c r="C174" s="101" t="s">
        <v>943</v>
      </c>
      <c r="D174" s="21" t="s">
        <v>944</v>
      </c>
      <c r="E174" s="31">
        <v>4933324</v>
      </c>
      <c r="F174" s="31">
        <v>454459</v>
      </c>
      <c r="G174" s="202" t="s">
        <v>845</v>
      </c>
      <c r="H174" s="202" t="s">
        <v>845</v>
      </c>
      <c r="I174" s="202" t="s">
        <v>845</v>
      </c>
      <c r="J174" s="202" t="s">
        <v>845</v>
      </c>
      <c r="K174" s="404"/>
    </row>
    <row r="175" spans="1:11" s="5" customFormat="1" ht="15" customHeight="1" x14ac:dyDescent="0.2">
      <c r="A175" s="99">
        <v>4024</v>
      </c>
      <c r="B175" s="100"/>
      <c r="C175" s="101" t="s">
        <v>945</v>
      </c>
      <c r="D175" s="21" t="s">
        <v>946</v>
      </c>
      <c r="E175" s="31">
        <v>3712093</v>
      </c>
      <c r="F175" s="31">
        <v>227296</v>
      </c>
      <c r="G175" s="202" t="s">
        <v>845</v>
      </c>
      <c r="H175" s="202" t="s">
        <v>845</v>
      </c>
      <c r="I175" s="202" t="s">
        <v>845</v>
      </c>
      <c r="J175" s="202" t="s">
        <v>845</v>
      </c>
      <c r="K175" s="404"/>
    </row>
    <row r="176" spans="1:11" s="5" customFormat="1" ht="15" customHeight="1" x14ac:dyDescent="0.2">
      <c r="A176" s="99">
        <v>4025</v>
      </c>
      <c r="B176" s="100"/>
      <c r="C176" s="101" t="s">
        <v>947</v>
      </c>
      <c r="D176" s="21" t="s">
        <v>948</v>
      </c>
      <c r="E176" s="31">
        <v>23688949</v>
      </c>
      <c r="F176" s="31">
        <v>11035034</v>
      </c>
      <c r="G176" s="202" t="s">
        <v>845</v>
      </c>
      <c r="H176" s="202" t="s">
        <v>845</v>
      </c>
      <c r="I176" s="202" t="s">
        <v>845</v>
      </c>
      <c r="J176" s="202" t="s">
        <v>845</v>
      </c>
      <c r="K176" s="404"/>
    </row>
    <row r="177" spans="1:11" s="5" customFormat="1" ht="15" customHeight="1" x14ac:dyDescent="0.2">
      <c r="A177" s="99">
        <v>4026</v>
      </c>
      <c r="B177" s="100"/>
      <c r="C177" s="101" t="s">
        <v>949</v>
      </c>
      <c r="D177" s="21" t="s">
        <v>950</v>
      </c>
      <c r="E177" s="31">
        <v>8945725</v>
      </c>
      <c r="F177" s="31">
        <v>646223</v>
      </c>
      <c r="G177" s="202" t="s">
        <v>845</v>
      </c>
      <c r="H177" s="202" t="s">
        <v>845</v>
      </c>
      <c r="I177" s="202" t="s">
        <v>845</v>
      </c>
      <c r="J177" s="202" t="s">
        <v>845</v>
      </c>
      <c r="K177" s="404"/>
    </row>
    <row r="178" spans="1:11" s="5" customFormat="1" ht="15" customHeight="1" x14ac:dyDescent="0.2">
      <c r="A178" s="99">
        <v>4027</v>
      </c>
      <c r="B178" s="100"/>
      <c r="C178" s="101" t="s">
        <v>951</v>
      </c>
      <c r="D178" s="21" t="s">
        <v>952</v>
      </c>
      <c r="E178" s="31">
        <v>3214946</v>
      </c>
      <c r="F178" s="31">
        <v>711957</v>
      </c>
      <c r="G178" s="202" t="s">
        <v>845</v>
      </c>
      <c r="H178" s="202" t="s">
        <v>845</v>
      </c>
      <c r="I178" s="202" t="s">
        <v>845</v>
      </c>
      <c r="J178" s="202" t="s">
        <v>845</v>
      </c>
      <c r="K178" s="404"/>
    </row>
    <row r="179" spans="1:11" s="5" customFormat="1" ht="15" customHeight="1" x14ac:dyDescent="0.2">
      <c r="A179" s="99">
        <v>4029</v>
      </c>
      <c r="B179" s="100"/>
      <c r="C179" s="101" t="s">
        <v>953</v>
      </c>
      <c r="D179" s="21" t="s">
        <v>954</v>
      </c>
      <c r="E179" s="31">
        <v>27014091</v>
      </c>
      <c r="F179" s="31">
        <v>6381226</v>
      </c>
      <c r="G179" s="202" t="s">
        <v>845</v>
      </c>
      <c r="H179" s="202" t="s">
        <v>845</v>
      </c>
      <c r="I179" s="202" t="s">
        <v>845</v>
      </c>
      <c r="J179" s="202" t="s">
        <v>845</v>
      </c>
      <c r="K179" s="404"/>
    </row>
    <row r="180" spans="1:11" s="5" customFormat="1" ht="15" customHeight="1" x14ac:dyDescent="0.2">
      <c r="A180" s="210">
        <v>402934</v>
      </c>
      <c r="B180" s="319"/>
      <c r="C180" s="357" t="s">
        <v>955</v>
      </c>
      <c r="D180" s="23" t="s">
        <v>956</v>
      </c>
      <c r="E180" s="33"/>
      <c r="F180" s="33"/>
      <c r="G180" s="33"/>
      <c r="H180" s="33"/>
      <c r="I180" s="33"/>
      <c r="J180" s="33"/>
      <c r="K180" s="251"/>
    </row>
    <row r="181" spans="1:11" s="5" customFormat="1" ht="15" customHeight="1" x14ac:dyDescent="0.2">
      <c r="A181" s="99"/>
      <c r="B181" s="100"/>
      <c r="C181" s="101"/>
      <c r="D181" s="21" t="s">
        <v>462</v>
      </c>
      <c r="E181" s="31"/>
      <c r="F181" s="31"/>
      <c r="G181" s="31"/>
      <c r="H181" s="31"/>
      <c r="I181" s="31"/>
      <c r="J181" s="31"/>
      <c r="K181" s="248"/>
    </row>
    <row r="182" spans="1:11" s="5" customFormat="1" ht="15" customHeight="1" x14ac:dyDescent="0.2">
      <c r="A182" s="99">
        <v>413302</v>
      </c>
      <c r="B182" s="100"/>
      <c r="C182" s="101" t="s">
        <v>823</v>
      </c>
      <c r="D182" s="21"/>
      <c r="E182" s="31">
        <f>+E236</f>
        <v>42121186</v>
      </c>
      <c r="F182" s="31">
        <f>+F236</f>
        <v>25221814</v>
      </c>
      <c r="G182" s="31">
        <f>+G236</f>
        <v>0</v>
      </c>
      <c r="H182" s="31">
        <f>+H236</f>
        <v>107500690</v>
      </c>
      <c r="I182" s="31">
        <f>SUM(I183:I187)</f>
        <v>0</v>
      </c>
      <c r="J182" s="31">
        <f>E182+F182+G182+H182-I182</f>
        <v>174843690</v>
      </c>
      <c r="K182" s="247">
        <f>J182/J$141*100</f>
        <v>4.1408564883890788</v>
      </c>
    </row>
    <row r="183" spans="1:11" s="5" customFormat="1" ht="15" customHeight="1" x14ac:dyDescent="0.2">
      <c r="A183" s="99"/>
      <c r="B183" s="100"/>
      <c r="C183" s="101"/>
      <c r="D183" s="21"/>
      <c r="E183" s="31"/>
      <c r="F183" s="31"/>
      <c r="G183" s="31"/>
      <c r="H183" s="31"/>
      <c r="I183" s="31"/>
      <c r="J183" s="31"/>
      <c r="K183" s="248"/>
    </row>
    <row r="184" spans="1:11" s="5" customFormat="1" ht="15" customHeight="1" x14ac:dyDescent="0.2">
      <c r="A184" s="99">
        <v>403</v>
      </c>
      <c r="B184" s="100"/>
      <c r="C184" s="101" t="s">
        <v>957</v>
      </c>
      <c r="D184" s="21" t="s">
        <v>958</v>
      </c>
      <c r="E184" s="31">
        <f>SUM(E185:E189)</f>
        <v>34674655</v>
      </c>
      <c r="F184" s="31">
        <f>SUM(F185:F189)</f>
        <v>515889</v>
      </c>
      <c r="G184" s="31">
        <f>SUM(G185:G189)</f>
        <v>28000</v>
      </c>
      <c r="H184" s="31">
        <f>SUM(H185:H189)</f>
        <v>0</v>
      </c>
      <c r="I184" s="31">
        <f>SUM(I185:I189)</f>
        <v>0</v>
      </c>
      <c r="J184" s="31">
        <f>E184+F184+G184+H184-I184</f>
        <v>35218544</v>
      </c>
      <c r="K184" s="247">
        <f t="shared" ref="K184:K189" si="17">J184/J$141*100</f>
        <v>0.83408750086443639</v>
      </c>
    </row>
    <row r="185" spans="1:11" s="5" customFormat="1" ht="15" customHeight="1" x14ac:dyDescent="0.2">
      <c r="A185" s="99">
        <v>4030</v>
      </c>
      <c r="B185" s="100"/>
      <c r="C185" s="101" t="s">
        <v>959</v>
      </c>
      <c r="D185" s="21" t="s">
        <v>960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f>E185+F185+G185+H185</f>
        <v>0</v>
      </c>
      <c r="K185" s="247">
        <f t="shared" si="17"/>
        <v>0</v>
      </c>
    </row>
    <row r="186" spans="1:11" s="5" customFormat="1" ht="15" customHeight="1" x14ac:dyDescent="0.2">
      <c r="A186" s="99">
        <v>4031</v>
      </c>
      <c r="B186" s="100"/>
      <c r="C186" s="101" t="s">
        <v>961</v>
      </c>
      <c r="D186" s="21" t="s">
        <v>962</v>
      </c>
      <c r="E186" s="31">
        <v>5417231</v>
      </c>
      <c r="F186" s="31">
        <v>262977</v>
      </c>
      <c r="G186" s="31">
        <v>28000</v>
      </c>
      <c r="H186" s="31">
        <v>0</v>
      </c>
      <c r="I186" s="31">
        <v>0</v>
      </c>
      <c r="J186" s="31">
        <f>E186+F186+G186+H186</f>
        <v>5708208</v>
      </c>
      <c r="K186" s="247">
        <f t="shared" si="17"/>
        <v>0.13518857977588122</v>
      </c>
    </row>
    <row r="187" spans="1:11" s="5" customFormat="1" ht="15" customHeight="1" x14ac:dyDescent="0.2">
      <c r="A187" s="99">
        <v>4032</v>
      </c>
      <c r="B187" s="100"/>
      <c r="C187" s="101" t="s">
        <v>963</v>
      </c>
      <c r="D187" s="21" t="s">
        <v>964</v>
      </c>
      <c r="E187" s="31">
        <v>0</v>
      </c>
      <c r="F187" s="31">
        <v>11488</v>
      </c>
      <c r="G187" s="31">
        <v>0</v>
      </c>
      <c r="H187" s="31">
        <v>0</v>
      </c>
      <c r="I187" s="31">
        <v>0</v>
      </c>
      <c r="J187" s="31">
        <f>E187+F187+G187+H187</f>
        <v>11488</v>
      </c>
      <c r="K187" s="247">
        <f t="shared" si="17"/>
        <v>2.7207249708933583E-4</v>
      </c>
    </row>
    <row r="188" spans="1:11" s="5" customFormat="1" ht="15" customHeight="1" x14ac:dyDescent="0.2">
      <c r="A188" s="99">
        <v>4033</v>
      </c>
      <c r="B188" s="100"/>
      <c r="C188" s="101" t="s">
        <v>965</v>
      </c>
      <c r="D188" s="21" t="s">
        <v>966</v>
      </c>
      <c r="E188" s="31">
        <v>2010</v>
      </c>
      <c r="F188" s="31">
        <v>166490</v>
      </c>
      <c r="G188" s="31">
        <v>0</v>
      </c>
      <c r="H188" s="31">
        <v>0</v>
      </c>
      <c r="I188" s="31">
        <v>0</v>
      </c>
      <c r="J188" s="31">
        <f>E188+F188+G188+H188</f>
        <v>168500</v>
      </c>
      <c r="K188" s="247">
        <f t="shared" si="17"/>
        <v>3.9906176670920172E-3</v>
      </c>
    </row>
    <row r="189" spans="1:11" s="5" customFormat="1" ht="15" customHeight="1" x14ac:dyDescent="0.2">
      <c r="A189" s="99">
        <v>4034</v>
      </c>
      <c r="B189" s="100"/>
      <c r="C189" s="101" t="s">
        <v>967</v>
      </c>
      <c r="D189" s="21" t="s">
        <v>968</v>
      </c>
      <c r="E189" s="31">
        <v>29255414</v>
      </c>
      <c r="F189" s="31">
        <v>74934</v>
      </c>
      <c r="G189" s="31">
        <v>0</v>
      </c>
      <c r="H189" s="31">
        <v>0</v>
      </c>
      <c r="I189" s="31">
        <v>0</v>
      </c>
      <c r="J189" s="31">
        <f>E189+F189+G189+H189</f>
        <v>29330348</v>
      </c>
      <c r="K189" s="247">
        <f t="shared" si="17"/>
        <v>0.69463623092437388</v>
      </c>
    </row>
    <row r="190" spans="1:11" s="5" customFormat="1" ht="15" customHeight="1" x14ac:dyDescent="0.2">
      <c r="A190" s="99"/>
      <c r="B190" s="100"/>
      <c r="C190" s="101"/>
      <c r="D190" s="21" t="s">
        <v>462</v>
      </c>
      <c r="E190" s="31"/>
      <c r="F190" s="31"/>
      <c r="G190" s="31"/>
      <c r="H190" s="31"/>
      <c r="I190" s="31"/>
      <c r="J190" s="31"/>
      <c r="K190" s="248"/>
    </row>
    <row r="191" spans="1:11" s="5" customFormat="1" ht="15" customHeight="1" x14ac:dyDescent="0.2">
      <c r="A191" s="99">
        <v>404</v>
      </c>
      <c r="B191" s="100"/>
      <c r="C191" s="101" t="s">
        <v>969</v>
      </c>
      <c r="D191" s="21" t="s">
        <v>970</v>
      </c>
      <c r="E191" s="31">
        <f>SUM(E192:E195)</f>
        <v>26057629</v>
      </c>
      <c r="F191" s="31">
        <f>SUM(F192:F195)</f>
        <v>0</v>
      </c>
      <c r="G191" s="31">
        <f>SUM(G192:G195)</f>
        <v>0</v>
      </c>
      <c r="H191" s="31">
        <f>SUM(H192:H195)</f>
        <v>0</v>
      </c>
      <c r="I191" s="31">
        <f>SUM(I192:I195)</f>
        <v>0</v>
      </c>
      <c r="J191" s="31">
        <f>E191+F191+G191+H191-I191</f>
        <v>26057629</v>
      </c>
      <c r="K191" s="247">
        <f>J191/J$141*100</f>
        <v>0.61712780207673168</v>
      </c>
    </row>
    <row r="192" spans="1:11" s="5" customFormat="1" ht="15" customHeight="1" x14ac:dyDescent="0.2">
      <c r="A192" s="99">
        <v>4040</v>
      </c>
      <c r="B192" s="100"/>
      <c r="C192" s="101" t="s">
        <v>971</v>
      </c>
      <c r="D192" s="21" t="s">
        <v>972</v>
      </c>
      <c r="E192" s="31">
        <v>5157568</v>
      </c>
      <c r="F192" s="31">
        <v>0</v>
      </c>
      <c r="G192" s="31">
        <v>0</v>
      </c>
      <c r="H192" s="31">
        <v>0</v>
      </c>
      <c r="I192" s="31">
        <v>0</v>
      </c>
      <c r="J192" s="31">
        <f>E192+F192+G192+H192</f>
        <v>5157568</v>
      </c>
      <c r="K192" s="247">
        <f>J192/J$141*100</f>
        <v>0.12214766753726077</v>
      </c>
    </row>
    <row r="193" spans="1:11" s="5" customFormat="1" ht="15" customHeight="1" x14ac:dyDescent="0.2">
      <c r="A193" s="99">
        <v>4041</v>
      </c>
      <c r="B193" s="100"/>
      <c r="C193" s="101" t="s">
        <v>973</v>
      </c>
      <c r="D193" s="21" t="s">
        <v>974</v>
      </c>
      <c r="E193" s="31">
        <v>798862</v>
      </c>
      <c r="F193" s="31">
        <v>0</v>
      </c>
      <c r="G193" s="31">
        <v>0</v>
      </c>
      <c r="H193" s="31">
        <v>0</v>
      </c>
      <c r="I193" s="31">
        <v>0</v>
      </c>
      <c r="J193" s="31">
        <f>E193+F193+G193+H193</f>
        <v>798862</v>
      </c>
      <c r="K193" s="247">
        <f>J193/J$141*100</f>
        <v>1.891960125085141E-2</v>
      </c>
    </row>
    <row r="194" spans="1:11" s="5" customFormat="1" ht="15" customHeight="1" x14ac:dyDescent="0.2">
      <c r="A194" s="99">
        <v>4042</v>
      </c>
      <c r="B194" s="100"/>
      <c r="C194" s="101" t="s">
        <v>975</v>
      </c>
      <c r="D194" s="21" t="s">
        <v>976</v>
      </c>
      <c r="E194" s="31">
        <v>3590379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3590379</v>
      </c>
      <c r="K194" s="247">
        <f>J194/J$141*100</f>
        <v>8.503163126976955E-2</v>
      </c>
    </row>
    <row r="195" spans="1:11" s="5" customFormat="1" ht="15" customHeight="1" x14ac:dyDescent="0.2">
      <c r="A195" s="99">
        <v>4043</v>
      </c>
      <c r="B195" s="100"/>
      <c r="C195" s="101" t="s">
        <v>977</v>
      </c>
      <c r="D195" s="21" t="s">
        <v>978</v>
      </c>
      <c r="E195" s="31">
        <v>16510820</v>
      </c>
      <c r="F195" s="31">
        <v>0</v>
      </c>
      <c r="G195" s="31">
        <v>0</v>
      </c>
      <c r="H195" s="31">
        <v>0</v>
      </c>
      <c r="I195" s="31">
        <v>0</v>
      </c>
      <c r="J195" s="31">
        <f>E195+F195+G195+H195</f>
        <v>16510820</v>
      </c>
      <c r="K195" s="247">
        <f>J195/J$141*100</f>
        <v>0.39102890201884993</v>
      </c>
    </row>
    <row r="196" spans="1:11" s="5" customFormat="1" ht="15" customHeight="1" x14ac:dyDescent="0.2">
      <c r="A196" s="99"/>
      <c r="B196" s="100"/>
      <c r="C196" s="101"/>
      <c r="D196" s="21" t="s">
        <v>462</v>
      </c>
      <c r="E196" s="31"/>
      <c r="F196" s="31"/>
      <c r="G196" s="31"/>
      <c r="H196" s="31"/>
      <c r="I196" s="31"/>
      <c r="J196" s="31"/>
      <c r="K196" s="248"/>
    </row>
    <row r="197" spans="1:11" s="5" customFormat="1" ht="15" customHeight="1" x14ac:dyDescent="0.2">
      <c r="A197" s="99">
        <v>409</v>
      </c>
      <c r="B197" s="100"/>
      <c r="C197" s="101" t="s">
        <v>979</v>
      </c>
      <c r="D197" s="21" t="s">
        <v>980</v>
      </c>
      <c r="E197" s="31">
        <f>E198+E199+E200</f>
        <v>9914000</v>
      </c>
      <c r="F197" s="31">
        <f>F198+F199+F200</f>
        <v>1302415</v>
      </c>
      <c r="G197" s="31">
        <f>G198+G199+G200</f>
        <v>0</v>
      </c>
      <c r="H197" s="31">
        <f>H198+H199+H200</f>
        <v>0</v>
      </c>
      <c r="I197" s="31">
        <f>I198+I199+I200</f>
        <v>0</v>
      </c>
      <c r="J197" s="31">
        <f>E197+F197+G197+H197-I197</f>
        <v>11216415</v>
      </c>
      <c r="K197" s="247">
        <f>J197/J$141*100</f>
        <v>0.26564049768804693</v>
      </c>
    </row>
    <row r="198" spans="1:11" s="5" customFormat="1" ht="15" customHeight="1" x14ac:dyDescent="0.2">
      <c r="A198" s="99">
        <v>4090</v>
      </c>
      <c r="B198" s="100"/>
      <c r="C198" s="101" t="s">
        <v>981</v>
      </c>
      <c r="D198" s="21" t="s">
        <v>982</v>
      </c>
      <c r="E198" s="31">
        <v>2914000</v>
      </c>
      <c r="F198" s="31">
        <v>1302415</v>
      </c>
      <c r="G198" s="31">
        <v>0</v>
      </c>
      <c r="H198" s="31">
        <v>0</v>
      </c>
      <c r="I198" s="31">
        <v>0</v>
      </c>
      <c r="J198" s="31">
        <f>E198+F198+G198+H198</f>
        <v>4216415</v>
      </c>
      <c r="K198" s="247">
        <f>J198/J$141*100</f>
        <v>9.9858161369684201E-2</v>
      </c>
    </row>
    <row r="199" spans="1:11" s="5" customFormat="1" ht="15" customHeight="1" x14ac:dyDescent="0.2">
      <c r="A199" s="99">
        <v>4091</v>
      </c>
      <c r="B199" s="100"/>
      <c r="C199" s="101" t="s">
        <v>983</v>
      </c>
      <c r="D199" s="21" t="s">
        <v>984</v>
      </c>
      <c r="E199" s="31">
        <v>7000000</v>
      </c>
      <c r="F199" s="31">
        <v>0</v>
      </c>
      <c r="G199" s="31">
        <v>0</v>
      </c>
      <c r="H199" s="31">
        <v>0</v>
      </c>
      <c r="I199" s="31">
        <v>0</v>
      </c>
      <c r="J199" s="31">
        <f>E199+F199+G199+H199</f>
        <v>7000000</v>
      </c>
      <c r="K199" s="247">
        <f>J199/J$141*100</f>
        <v>0.16578233631836273</v>
      </c>
    </row>
    <row r="200" spans="1:11" s="5" customFormat="1" ht="15" customHeight="1" x14ac:dyDescent="0.2">
      <c r="A200" s="99">
        <v>4092</v>
      </c>
      <c r="B200" s="100"/>
      <c r="C200" s="101" t="s">
        <v>985</v>
      </c>
      <c r="D200" s="21" t="s">
        <v>986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f>E200+F200+G200+H200</f>
        <v>0</v>
      </c>
      <c r="K200" s="247">
        <f>J200/J$141*100</f>
        <v>0</v>
      </c>
    </row>
    <row r="201" spans="1:11" s="5" customFormat="1" ht="15" customHeight="1" x14ac:dyDescent="0.2">
      <c r="A201" s="99"/>
      <c r="B201" s="100"/>
      <c r="C201" s="101"/>
      <c r="D201" s="21" t="s">
        <v>462</v>
      </c>
      <c r="E201" s="31"/>
      <c r="F201" s="31"/>
      <c r="G201" s="31"/>
      <c r="H201" s="31"/>
      <c r="I201" s="31"/>
      <c r="J201" s="31"/>
      <c r="K201" s="248"/>
    </row>
    <row r="202" spans="1:11" s="5" customFormat="1" ht="15" customHeight="1" x14ac:dyDescent="0.25">
      <c r="A202" s="88">
        <v>41</v>
      </c>
      <c r="B202" s="89"/>
      <c r="C202" s="90" t="s">
        <v>987</v>
      </c>
      <c r="D202" s="22" t="s">
        <v>988</v>
      </c>
      <c r="E202" s="32">
        <f>E205+E210+E221+E225+E238</f>
        <v>413071899</v>
      </c>
      <c r="F202" s="32">
        <f>F205+F210+F221+F225+F238</f>
        <v>39595532</v>
      </c>
      <c r="G202" s="32">
        <f>G205+G210+G221+G225+G238</f>
        <v>566653772</v>
      </c>
      <c r="H202" s="32">
        <f>H205+H210+H221+H225+H238</f>
        <v>28368975</v>
      </c>
      <c r="I202" s="32">
        <f>I205+I210+I221+I225+I238</f>
        <v>244951015</v>
      </c>
      <c r="J202" s="32">
        <f>E202+F202+G202+H202-I202</f>
        <v>802739163</v>
      </c>
      <c r="K202" s="245">
        <f>J202/J$141*100</f>
        <v>19.011424842341</v>
      </c>
    </row>
    <row r="203" spans="1:11" s="5" customFormat="1" ht="15" customHeight="1" x14ac:dyDescent="0.2">
      <c r="A203" s="99"/>
      <c r="B203" s="100"/>
      <c r="C203" s="101" t="s">
        <v>989</v>
      </c>
      <c r="D203" s="21" t="s">
        <v>989</v>
      </c>
      <c r="E203" s="31"/>
      <c r="F203" s="31"/>
      <c r="G203" s="31"/>
      <c r="H203" s="31"/>
      <c r="I203" s="31"/>
      <c r="J203" s="31"/>
      <c r="K203" s="248"/>
    </row>
    <row r="204" spans="1:11" s="5" customFormat="1" ht="15" customHeight="1" x14ac:dyDescent="0.2">
      <c r="A204" s="99"/>
      <c r="B204" s="100"/>
      <c r="C204" s="101"/>
      <c r="D204" s="21"/>
      <c r="E204" s="31"/>
      <c r="F204" s="31"/>
      <c r="G204" s="31"/>
      <c r="H204" s="31"/>
      <c r="I204" s="31"/>
      <c r="J204" s="31"/>
      <c r="K204" s="248"/>
    </row>
    <row r="205" spans="1:11" s="5" customFormat="1" ht="15" customHeight="1" x14ac:dyDescent="0.2">
      <c r="A205" s="99">
        <v>410</v>
      </c>
      <c r="B205" s="100"/>
      <c r="C205" s="101" t="s">
        <v>990</v>
      </c>
      <c r="D205" s="21" t="s">
        <v>991</v>
      </c>
      <c r="E205" s="31">
        <f>E206+E207+E208</f>
        <v>62439168</v>
      </c>
      <c r="F205" s="31">
        <f>F206+F207+F208</f>
        <v>5202084</v>
      </c>
      <c r="G205" s="31">
        <f>G206+G207+G208</f>
        <v>0</v>
      </c>
      <c r="H205" s="31">
        <f>H206+H207+H208</f>
        <v>0</v>
      </c>
      <c r="I205" s="31">
        <f>I206+I207+I208</f>
        <v>0</v>
      </c>
      <c r="J205" s="31">
        <f>E205+F205+G205+H205-I205</f>
        <v>67641252</v>
      </c>
      <c r="K205" s="247">
        <f>J205/J$141*100</f>
        <v>1.6019606840084462</v>
      </c>
    </row>
    <row r="206" spans="1:11" s="5" customFormat="1" ht="15" customHeight="1" x14ac:dyDescent="0.2">
      <c r="A206" s="99">
        <v>4100</v>
      </c>
      <c r="B206" s="100"/>
      <c r="C206" s="101" t="s">
        <v>992</v>
      </c>
      <c r="D206" s="21" t="s">
        <v>993</v>
      </c>
      <c r="E206" s="31">
        <v>15601297</v>
      </c>
      <c r="F206" s="31">
        <v>2432930</v>
      </c>
      <c r="G206" s="31">
        <v>0</v>
      </c>
      <c r="H206" s="31">
        <v>0</v>
      </c>
      <c r="I206" s="31">
        <v>0</v>
      </c>
      <c r="J206" s="31">
        <f>E206+F206+G206+H206</f>
        <v>18034227</v>
      </c>
      <c r="K206" s="247">
        <f>J206/J$141*100</f>
        <v>0.42710804082224246</v>
      </c>
    </row>
    <row r="207" spans="1:11" s="5" customFormat="1" ht="15" customHeight="1" x14ac:dyDescent="0.2">
      <c r="A207" s="99">
        <v>4101</v>
      </c>
      <c r="B207" s="100"/>
      <c r="C207" s="101" t="s">
        <v>994</v>
      </c>
      <c r="D207" s="21" t="s">
        <v>995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f>E207+F207+G207+H207</f>
        <v>0</v>
      </c>
      <c r="K207" s="247">
        <f>J207/J$141*100</f>
        <v>0</v>
      </c>
    </row>
    <row r="208" spans="1:11" s="5" customFormat="1" ht="15" customHeight="1" x14ac:dyDescent="0.2">
      <c r="A208" s="99">
        <v>4102</v>
      </c>
      <c r="B208" s="100"/>
      <c r="C208" s="101" t="s">
        <v>996</v>
      </c>
      <c r="D208" s="21" t="s">
        <v>997</v>
      </c>
      <c r="E208" s="31">
        <v>46837871</v>
      </c>
      <c r="F208" s="31">
        <v>2769154</v>
      </c>
      <c r="G208" s="31">
        <v>0</v>
      </c>
      <c r="H208" s="31">
        <v>0</v>
      </c>
      <c r="I208" s="31">
        <v>0</v>
      </c>
      <c r="J208" s="31">
        <f>E208+F208+G208+H208</f>
        <v>49607025</v>
      </c>
      <c r="K208" s="247">
        <f>J208/J$141*100</f>
        <v>1.1748526431862039</v>
      </c>
    </row>
    <row r="209" spans="1:11" s="5" customFormat="1" ht="15" customHeight="1" x14ac:dyDescent="0.2">
      <c r="A209" s="99"/>
      <c r="B209" s="100"/>
      <c r="C209" s="101"/>
      <c r="D209" s="21"/>
      <c r="E209" s="31"/>
      <c r="F209" s="31"/>
      <c r="G209" s="31"/>
      <c r="H209" s="31"/>
      <c r="I209" s="31"/>
      <c r="J209" s="31"/>
      <c r="K209" s="248"/>
    </row>
    <row r="210" spans="1:11" s="5" customFormat="1" ht="15" customHeight="1" x14ac:dyDescent="0.2">
      <c r="A210" s="99">
        <v>411</v>
      </c>
      <c r="B210" s="100"/>
      <c r="C210" s="101" t="s">
        <v>998</v>
      </c>
      <c r="D210" s="21" t="s">
        <v>999</v>
      </c>
      <c r="E210" s="31">
        <f>SUM(E211:E219)</f>
        <v>152322942</v>
      </c>
      <c r="F210" s="31">
        <f>SUM(F211:F219)</f>
        <v>15619039</v>
      </c>
      <c r="G210" s="31">
        <f>SUM(G211:G219)</f>
        <v>526031073</v>
      </c>
      <c r="H210" s="31">
        <f>SUM(H211:H219)</f>
        <v>23690577</v>
      </c>
      <c r="I210" s="31">
        <f>SUM(I211:I219)</f>
        <v>6984643</v>
      </c>
      <c r="J210" s="31">
        <f>E210+F210+G210+H210-I210</f>
        <v>710678988</v>
      </c>
      <c r="K210" s="247">
        <f t="shared" ref="K210:K219" si="18">J210/J$141*100</f>
        <v>16.831146143287093</v>
      </c>
    </row>
    <row r="211" spans="1:11" s="5" customFormat="1" ht="15" customHeight="1" x14ac:dyDescent="0.2">
      <c r="A211" s="99">
        <v>4110</v>
      </c>
      <c r="B211" s="100"/>
      <c r="C211" s="101" t="s">
        <v>1000</v>
      </c>
      <c r="D211" s="21" t="s">
        <v>1001</v>
      </c>
      <c r="E211" s="31">
        <v>26465995</v>
      </c>
      <c r="F211" s="31">
        <v>104802</v>
      </c>
      <c r="G211" s="31">
        <v>0</v>
      </c>
      <c r="H211" s="31">
        <v>0</v>
      </c>
      <c r="I211" s="44">
        <f>H134+H135+2941240</f>
        <v>6984643</v>
      </c>
      <c r="J211" s="33">
        <f>E211+F211+G211+H211-I211</f>
        <v>19586154</v>
      </c>
      <c r="K211" s="261">
        <f t="shared" si="18"/>
        <v>0.46386262423017793</v>
      </c>
    </row>
    <row r="212" spans="1:11" s="5" customFormat="1" ht="15" customHeight="1" x14ac:dyDescent="0.2">
      <c r="A212" s="99">
        <v>4111</v>
      </c>
      <c r="B212" s="100"/>
      <c r="C212" s="101" t="s">
        <v>1002</v>
      </c>
      <c r="D212" s="21" t="s">
        <v>1003</v>
      </c>
      <c r="E212" s="31">
        <v>69181690</v>
      </c>
      <c r="F212" s="31">
        <v>80161</v>
      </c>
      <c r="G212" s="31">
        <v>0</v>
      </c>
      <c r="H212" s="31">
        <v>0</v>
      </c>
      <c r="I212" s="31">
        <v>0</v>
      </c>
      <c r="J212" s="31">
        <f t="shared" ref="J212:J218" si="19">E212+F212+G212+H212</f>
        <v>69261851</v>
      </c>
      <c r="K212" s="247">
        <f t="shared" si="18"/>
        <v>1.6403416395020469</v>
      </c>
    </row>
    <row r="213" spans="1:11" s="5" customFormat="1" ht="15" customHeight="1" x14ac:dyDescent="0.2">
      <c r="A213" s="99">
        <v>4112</v>
      </c>
      <c r="B213" s="100"/>
      <c r="C213" s="101" t="s">
        <v>1004</v>
      </c>
      <c r="D213" s="21" t="s">
        <v>1005</v>
      </c>
      <c r="E213" s="31">
        <v>14712080</v>
      </c>
      <c r="F213" s="31">
        <v>446101</v>
      </c>
      <c r="G213" s="31">
        <v>22548699</v>
      </c>
      <c r="H213" s="31">
        <v>0</v>
      </c>
      <c r="I213" s="31">
        <v>0</v>
      </c>
      <c r="J213" s="31">
        <f t="shared" si="19"/>
        <v>37706880</v>
      </c>
      <c r="K213" s="247">
        <f t="shared" si="18"/>
        <v>0.89301923738230649</v>
      </c>
    </row>
    <row r="214" spans="1:11" s="5" customFormat="1" ht="15" customHeight="1" x14ac:dyDescent="0.2">
      <c r="A214" s="99">
        <v>4113</v>
      </c>
      <c r="B214" s="100"/>
      <c r="C214" s="101" t="s">
        <v>1006</v>
      </c>
      <c r="D214" s="21" t="s">
        <v>1007</v>
      </c>
      <c r="E214" s="31">
        <v>17848129</v>
      </c>
      <c r="F214" s="31">
        <v>2714</v>
      </c>
      <c r="G214" s="31">
        <v>0</v>
      </c>
      <c r="H214" s="31">
        <v>0</v>
      </c>
      <c r="I214" s="31">
        <v>0</v>
      </c>
      <c r="J214" s="31">
        <f t="shared" si="19"/>
        <v>17850843</v>
      </c>
      <c r="K214" s="247">
        <f t="shared" si="18"/>
        <v>0.42276492254175585</v>
      </c>
    </row>
    <row r="215" spans="1:11" s="5" customFormat="1" ht="15" customHeight="1" x14ac:dyDescent="0.2">
      <c r="A215" s="99">
        <v>4114</v>
      </c>
      <c r="B215" s="100"/>
      <c r="C215" s="101" t="s">
        <v>1008</v>
      </c>
      <c r="D215" s="21" t="s">
        <v>1009</v>
      </c>
      <c r="E215" s="31">
        <v>0</v>
      </c>
      <c r="F215" s="31">
        <v>0</v>
      </c>
      <c r="G215" s="31">
        <v>482419844</v>
      </c>
      <c r="H215" s="31">
        <v>0</v>
      </c>
      <c r="I215" s="31">
        <v>0</v>
      </c>
      <c r="J215" s="31">
        <f t="shared" si="19"/>
        <v>482419844</v>
      </c>
      <c r="K215" s="247">
        <f t="shared" si="18"/>
        <v>11.425241260665725</v>
      </c>
    </row>
    <row r="216" spans="1:11" s="5" customFormat="1" ht="15" customHeight="1" x14ac:dyDescent="0.2">
      <c r="A216" s="99">
        <v>4115</v>
      </c>
      <c r="B216" s="100"/>
      <c r="C216" s="101" t="s">
        <v>1010</v>
      </c>
      <c r="D216" s="21" t="s">
        <v>1011</v>
      </c>
      <c r="E216" s="31">
        <v>20094</v>
      </c>
      <c r="F216" s="31">
        <v>0</v>
      </c>
      <c r="G216" s="31">
        <v>21043592</v>
      </c>
      <c r="H216" s="31">
        <v>0</v>
      </c>
      <c r="I216" s="31">
        <v>0</v>
      </c>
      <c r="J216" s="31">
        <f t="shared" si="19"/>
        <v>21063686</v>
      </c>
      <c r="K216" s="247">
        <f t="shared" si="18"/>
        <v>0.49885529665091266</v>
      </c>
    </row>
    <row r="217" spans="1:11" s="5" customFormat="1" ht="15" customHeight="1" x14ac:dyDescent="0.2">
      <c r="A217" s="99">
        <v>4116</v>
      </c>
      <c r="B217" s="100"/>
      <c r="C217" s="101" t="s">
        <v>1012</v>
      </c>
      <c r="D217" s="21" t="s">
        <v>1013</v>
      </c>
      <c r="E217" s="31">
        <v>0</v>
      </c>
      <c r="F217" s="31">
        <v>0</v>
      </c>
      <c r="G217" s="31">
        <v>0</v>
      </c>
      <c r="H217" s="31">
        <v>21564858</v>
      </c>
      <c r="I217" s="31">
        <v>0</v>
      </c>
      <c r="J217" s="31">
        <f t="shared" si="19"/>
        <v>21564858</v>
      </c>
      <c r="K217" s="247">
        <f t="shared" si="18"/>
        <v>0.51072464880196211</v>
      </c>
    </row>
    <row r="218" spans="1:11" s="5" customFormat="1" ht="15" customHeight="1" x14ac:dyDescent="0.2">
      <c r="A218" s="99">
        <v>4117</v>
      </c>
      <c r="B218" s="100"/>
      <c r="C218" s="101" t="s">
        <v>1014</v>
      </c>
      <c r="D218" s="21" t="s">
        <v>1015</v>
      </c>
      <c r="E218" s="31">
        <v>16597867</v>
      </c>
      <c r="F218" s="31">
        <v>186172</v>
      </c>
      <c r="G218" s="31">
        <v>4474</v>
      </c>
      <c r="H218" s="31">
        <v>0</v>
      </c>
      <c r="I218" s="31">
        <v>0</v>
      </c>
      <c r="J218" s="31">
        <f t="shared" si="19"/>
        <v>16788513</v>
      </c>
      <c r="K218" s="247">
        <f t="shared" si="18"/>
        <v>0.39760555835017208</v>
      </c>
    </row>
    <row r="219" spans="1:11" s="5" customFormat="1" ht="15" customHeight="1" x14ac:dyDescent="0.2">
      <c r="A219" s="99">
        <v>4119</v>
      </c>
      <c r="B219" s="100"/>
      <c r="C219" s="101" t="s">
        <v>1016</v>
      </c>
      <c r="D219" s="21" t="s">
        <v>1017</v>
      </c>
      <c r="E219" s="31">
        <v>7497087</v>
      </c>
      <c r="F219" s="31">
        <v>14799089</v>
      </c>
      <c r="G219" s="31">
        <v>14464</v>
      </c>
      <c r="H219" s="31">
        <v>2125719</v>
      </c>
      <c r="I219" s="31">
        <v>0</v>
      </c>
      <c r="J219" s="31">
        <f>E219+F219+G219+H219-I219</f>
        <v>24436359</v>
      </c>
      <c r="K219" s="247">
        <f t="shared" si="18"/>
        <v>0.57873095516203565</v>
      </c>
    </row>
    <row r="220" spans="1:11" s="5" customFormat="1" ht="15" customHeight="1" x14ac:dyDescent="0.2">
      <c r="A220" s="99"/>
      <c r="B220" s="100"/>
      <c r="C220" s="101"/>
      <c r="D220" s="21" t="s">
        <v>462</v>
      </c>
      <c r="E220" s="31"/>
      <c r="F220" s="31"/>
      <c r="G220" s="31"/>
      <c r="H220" s="31"/>
      <c r="I220" s="31"/>
      <c r="J220" s="31"/>
      <c r="K220" s="248"/>
    </row>
    <row r="221" spans="1:11" s="5" customFormat="1" ht="15" customHeight="1" x14ac:dyDescent="0.2">
      <c r="A221" s="99">
        <v>412</v>
      </c>
      <c r="B221" s="100"/>
      <c r="C221" s="101" t="s">
        <v>0</v>
      </c>
      <c r="D221" s="21" t="s">
        <v>1</v>
      </c>
      <c r="E221" s="31">
        <f>E223</f>
        <v>7077992</v>
      </c>
      <c r="F221" s="31">
        <f>F223</f>
        <v>9398534</v>
      </c>
      <c r="G221" s="31">
        <f>G223</f>
        <v>654600</v>
      </c>
      <c r="H221" s="31">
        <f>H223</f>
        <v>0</v>
      </c>
      <c r="I221" s="31">
        <f>I223</f>
        <v>0</v>
      </c>
      <c r="J221" s="31">
        <f>E221+F221+G221+H221-I221</f>
        <v>17131126</v>
      </c>
      <c r="K221" s="247">
        <f>J221/J$141*100</f>
        <v>0.4057197274348926</v>
      </c>
    </row>
    <row r="222" spans="1:11" s="5" customFormat="1" ht="15" customHeight="1" x14ac:dyDescent="0.2">
      <c r="A222" s="99"/>
      <c r="B222" s="100"/>
      <c r="C222" s="101" t="s">
        <v>2</v>
      </c>
      <c r="D222" s="21" t="s">
        <v>3</v>
      </c>
      <c r="E222" s="31"/>
      <c r="F222" s="31"/>
      <c r="G222" s="31"/>
      <c r="H222" s="31"/>
      <c r="I222" s="31"/>
      <c r="J222" s="31"/>
      <c r="K222" s="248"/>
    </row>
    <row r="223" spans="1:11" s="5" customFormat="1" ht="15" customHeight="1" x14ac:dyDescent="0.2">
      <c r="A223" s="99">
        <v>4120</v>
      </c>
      <c r="B223" s="100"/>
      <c r="C223" s="101" t="s">
        <v>4</v>
      </c>
      <c r="D223" s="21" t="s">
        <v>5</v>
      </c>
      <c r="E223" s="31">
        <v>7077992</v>
      </c>
      <c r="F223" s="31">
        <v>9398534</v>
      </c>
      <c r="G223" s="31">
        <v>654600</v>
      </c>
      <c r="H223" s="31">
        <v>0</v>
      </c>
      <c r="I223" s="31">
        <v>0</v>
      </c>
      <c r="J223" s="31">
        <f>E223+F223+G223+H223</f>
        <v>17131126</v>
      </c>
      <c r="K223" s="247">
        <f>J223/J$141*100</f>
        <v>0.4057197274348926</v>
      </c>
    </row>
    <row r="224" spans="1:11" s="5" customFormat="1" ht="15" customHeight="1" x14ac:dyDescent="0.2">
      <c r="A224" s="99"/>
      <c r="B224" s="100"/>
      <c r="C224" s="101"/>
      <c r="D224" s="21"/>
      <c r="E224" s="31"/>
      <c r="F224" s="31"/>
      <c r="G224" s="31"/>
      <c r="H224" s="31"/>
      <c r="I224" s="31"/>
      <c r="J224" s="31"/>
      <c r="K224" s="248"/>
    </row>
    <row r="225" spans="1:11" s="5" customFormat="1" ht="15" customHeight="1" x14ac:dyDescent="0.2">
      <c r="A225" s="99">
        <v>413</v>
      </c>
      <c r="B225" s="100"/>
      <c r="C225" s="101" t="s">
        <v>6</v>
      </c>
      <c r="D225" s="21" t="s">
        <v>7</v>
      </c>
      <c r="E225" s="31">
        <f>+E227+E229+E231</f>
        <v>188632779</v>
      </c>
      <c r="F225" s="31">
        <f>+F227+F229+F231</f>
        <v>9375875</v>
      </c>
      <c r="G225" s="31">
        <f>+G227+G229+G231</f>
        <v>39968099</v>
      </c>
      <c r="H225" s="31">
        <f>+H227+H229+H231</f>
        <v>1908490</v>
      </c>
      <c r="I225" s="31">
        <f>+I227+I229+I231</f>
        <v>237966372</v>
      </c>
      <c r="J225" s="31">
        <f>E225+F225+G225+H225-I225</f>
        <v>1918871</v>
      </c>
      <c r="K225" s="247">
        <f>J225/J$141*100</f>
        <v>4.5444988210507568E-2</v>
      </c>
    </row>
    <row r="226" spans="1:11" s="5" customFormat="1" ht="15" customHeight="1" x14ac:dyDescent="0.2">
      <c r="A226" s="99"/>
      <c r="B226" s="100"/>
      <c r="C226" s="101"/>
      <c r="D226" s="21"/>
      <c r="E226" s="31"/>
      <c r="F226" s="31"/>
      <c r="G226" s="31"/>
      <c r="H226" s="31"/>
      <c r="I226" s="31"/>
      <c r="J226" s="31"/>
      <c r="K226" s="248"/>
    </row>
    <row r="227" spans="1:11" s="5" customFormat="1" ht="15" customHeight="1" x14ac:dyDescent="0.2">
      <c r="A227" s="210">
        <v>4130</v>
      </c>
      <c r="B227" s="319"/>
      <c r="C227" s="357" t="s">
        <v>8</v>
      </c>
      <c r="D227" s="23" t="s">
        <v>9</v>
      </c>
      <c r="E227" s="33">
        <v>31917393</v>
      </c>
      <c r="F227" s="33">
        <v>3531736</v>
      </c>
      <c r="G227" s="33">
        <v>0</v>
      </c>
      <c r="H227" s="33">
        <v>0</v>
      </c>
      <c r="I227" s="33">
        <f>E227+F227+G227+H227-3025658+(1612865-506078)</f>
        <v>33530258</v>
      </c>
      <c r="J227" s="33">
        <f>E227+F227+G227+H227-I227</f>
        <v>1918871</v>
      </c>
      <c r="K227" s="261"/>
    </row>
    <row r="228" spans="1:11" s="5" customFormat="1" ht="15" customHeight="1" x14ac:dyDescent="0.2">
      <c r="A228" s="210"/>
      <c r="B228" s="319"/>
      <c r="C228" s="357"/>
      <c r="D228" s="23"/>
      <c r="E228" s="33"/>
      <c r="F228" s="33"/>
      <c r="G228" s="33"/>
      <c r="H228" s="33"/>
      <c r="I228" s="33"/>
      <c r="J228" s="33"/>
      <c r="K228" s="261"/>
    </row>
    <row r="229" spans="1:11" s="5" customFormat="1" ht="15" customHeight="1" x14ac:dyDescent="0.2">
      <c r="A229" s="210">
        <v>4131</v>
      </c>
      <c r="B229" s="319"/>
      <c r="C229" s="357" t="s">
        <v>10</v>
      </c>
      <c r="D229" s="23" t="s">
        <v>14</v>
      </c>
      <c r="E229" s="33">
        <v>153876076</v>
      </c>
      <c r="F229" s="33">
        <v>1811310</v>
      </c>
      <c r="G229" s="407">
        <v>39968099</v>
      </c>
      <c r="H229" s="407">
        <v>1908490</v>
      </c>
      <c r="I229" s="33">
        <f>E229+F229+G229+H229</f>
        <v>197563975</v>
      </c>
      <c r="J229" s="33">
        <f>E229+F229+G229+H229-I229</f>
        <v>0</v>
      </c>
      <c r="K229" s="251"/>
    </row>
    <row r="230" spans="1:11" s="5" customFormat="1" ht="15" customHeight="1" x14ac:dyDescent="0.2">
      <c r="A230" s="210"/>
      <c r="B230" s="319"/>
      <c r="C230" s="357"/>
      <c r="D230" s="23"/>
      <c r="E230" s="33"/>
      <c r="F230" s="33"/>
      <c r="G230" s="33"/>
      <c r="H230" s="33"/>
      <c r="I230" s="33"/>
      <c r="J230" s="33"/>
      <c r="K230" s="251"/>
    </row>
    <row r="231" spans="1:11" s="5" customFormat="1" ht="15" customHeight="1" x14ac:dyDescent="0.2">
      <c r="A231" s="210">
        <v>4132</v>
      </c>
      <c r="B231" s="319"/>
      <c r="C231" s="357" t="s">
        <v>15</v>
      </c>
      <c r="D231" s="23" t="s">
        <v>16</v>
      </c>
      <c r="E231" s="33">
        <v>2839310</v>
      </c>
      <c r="F231" s="33">
        <v>4032829</v>
      </c>
      <c r="G231" s="33">
        <v>0</v>
      </c>
      <c r="H231" s="33">
        <v>0</v>
      </c>
      <c r="I231" s="33">
        <f>E231+F231+G231+H231</f>
        <v>6872139</v>
      </c>
      <c r="J231" s="33">
        <f>E231+F231+G231+H231-I231</f>
        <v>0</v>
      </c>
      <c r="K231" s="261"/>
    </row>
    <row r="232" spans="1:11" s="5" customFormat="1" ht="15" customHeight="1" x14ac:dyDescent="0.2">
      <c r="A232" s="99"/>
      <c r="B232" s="100"/>
      <c r="C232" s="101"/>
      <c r="D232" s="21"/>
      <c r="E232" s="31"/>
      <c r="F232" s="31"/>
      <c r="G232" s="31"/>
      <c r="H232" s="31"/>
      <c r="I232" s="31"/>
      <c r="J232" s="34"/>
      <c r="K232" s="248"/>
    </row>
    <row r="233" spans="1:11" s="5" customFormat="1" ht="15" customHeight="1" x14ac:dyDescent="0.2">
      <c r="A233" s="99">
        <v>4133</v>
      </c>
      <c r="B233" s="100"/>
      <c r="C233" s="101" t="s">
        <v>17</v>
      </c>
      <c r="D233" s="21" t="s">
        <v>18</v>
      </c>
      <c r="E233" s="31">
        <v>204407768</v>
      </c>
      <c r="F233" s="31">
        <f>F234+F235+F236</f>
        <v>49369740</v>
      </c>
      <c r="G233" s="31">
        <f>G234+G235+G236</f>
        <v>0</v>
      </c>
      <c r="H233" s="31">
        <f>H234+H235+H236</f>
        <v>225760046</v>
      </c>
      <c r="I233" s="31">
        <f>I234+I235+I236</f>
        <v>44596885</v>
      </c>
      <c r="J233" s="31">
        <f>E233+F233+G233+H233-I233</f>
        <v>434940669</v>
      </c>
      <c r="K233" s="247">
        <f>J233/J$141*100</f>
        <v>10.300782895241669</v>
      </c>
    </row>
    <row r="234" spans="1:11" s="5" customFormat="1" ht="15" customHeight="1" x14ac:dyDescent="0.2">
      <c r="A234" s="99">
        <v>413300</v>
      </c>
      <c r="B234" s="100"/>
      <c r="C234" s="101" t="s">
        <v>19</v>
      </c>
      <c r="D234" s="21" t="s">
        <v>20</v>
      </c>
      <c r="E234" s="31">
        <v>140179057</v>
      </c>
      <c r="F234" s="31">
        <v>21037182</v>
      </c>
      <c r="G234" s="31">
        <v>0</v>
      </c>
      <c r="H234" s="31">
        <v>98880740</v>
      </c>
      <c r="I234" s="31"/>
      <c r="J234" s="31">
        <f>E234+F234+G234+H234</f>
        <v>260096979</v>
      </c>
      <c r="K234" s="247">
        <f>J234/J$141*100</f>
        <v>6.1599264068525894</v>
      </c>
    </row>
    <row r="235" spans="1:11" s="5" customFormat="1" ht="15" customHeight="1" x14ac:dyDescent="0.2">
      <c r="A235" s="210">
        <v>413301</v>
      </c>
      <c r="B235" s="319"/>
      <c r="C235" s="357" t="s">
        <v>21</v>
      </c>
      <c r="D235" s="23" t="s">
        <v>22</v>
      </c>
      <c r="E235" s="33">
        <v>22107525</v>
      </c>
      <c r="F235" s="33">
        <v>3110744</v>
      </c>
      <c r="G235" s="33">
        <v>0</v>
      </c>
      <c r="H235" s="33">
        <v>19378616</v>
      </c>
      <c r="I235" s="33">
        <f>E235+F235+G235+H235</f>
        <v>44596885</v>
      </c>
      <c r="J235" s="33">
        <f>E235+F235+G235+H235-I235</f>
        <v>0</v>
      </c>
      <c r="K235" s="261"/>
    </row>
    <row r="236" spans="1:11" s="5" customFormat="1" ht="15" customHeight="1" x14ac:dyDescent="0.2">
      <c r="A236" s="99">
        <v>413302</v>
      </c>
      <c r="B236" s="100"/>
      <c r="C236" s="101" t="s">
        <v>23</v>
      </c>
      <c r="D236" s="21" t="s">
        <v>24</v>
      </c>
      <c r="E236" s="31">
        <f>E233-E234-E235</f>
        <v>42121186</v>
      </c>
      <c r="F236" s="31">
        <v>25221814</v>
      </c>
      <c r="G236" s="31">
        <v>0</v>
      </c>
      <c r="H236" s="31">
        <f>71281964+27876056+6774336+1568334</f>
        <v>107500690</v>
      </c>
      <c r="I236" s="31"/>
      <c r="J236" s="31">
        <f>E236+F236+G236+H236-I236</f>
        <v>174843690</v>
      </c>
      <c r="K236" s="247">
        <f>J236/J$141*100</f>
        <v>4.1408564883890788</v>
      </c>
    </row>
    <row r="237" spans="1:11" s="5" customFormat="1" ht="15" customHeight="1" x14ac:dyDescent="0.2">
      <c r="A237" s="99"/>
      <c r="B237" s="100"/>
      <c r="C237" s="101"/>
      <c r="D237" s="21"/>
      <c r="E237" s="31"/>
      <c r="F237" s="31"/>
      <c r="G237" s="31"/>
      <c r="H237" s="31"/>
      <c r="I237" s="31"/>
      <c r="J237" s="31"/>
      <c r="K237" s="248"/>
    </row>
    <row r="238" spans="1:11" s="5" customFormat="1" ht="15" customHeight="1" x14ac:dyDescent="0.2">
      <c r="A238" s="99">
        <v>414</v>
      </c>
      <c r="B238" s="100"/>
      <c r="C238" s="101" t="s">
        <v>25</v>
      </c>
      <c r="D238" s="21" t="s">
        <v>26</v>
      </c>
      <c r="E238" s="31">
        <f>SUM(E239:E242)</f>
        <v>2599018</v>
      </c>
      <c r="F238" s="31">
        <f>SUM(F239:F242)</f>
        <v>0</v>
      </c>
      <c r="G238" s="31">
        <f>SUM(G239:G242)</f>
        <v>0</v>
      </c>
      <c r="H238" s="31">
        <f>SUM(H239:H242)</f>
        <v>2769908</v>
      </c>
      <c r="I238" s="31">
        <f>SUM(I239:I242)</f>
        <v>0</v>
      </c>
      <c r="J238" s="31">
        <f>E238+F238+G238+H238-I238</f>
        <v>5368926</v>
      </c>
      <c r="K238" s="247">
        <f>J238/J$141*100</f>
        <v>0.1271532994000574</v>
      </c>
    </row>
    <row r="239" spans="1:11" s="5" customFormat="1" ht="15" customHeight="1" x14ac:dyDescent="0.2">
      <c r="A239" s="99">
        <v>4140</v>
      </c>
      <c r="B239" s="100"/>
      <c r="C239" s="101" t="s">
        <v>27</v>
      </c>
      <c r="D239" s="21" t="s">
        <v>28</v>
      </c>
      <c r="E239" s="31">
        <v>113871</v>
      </c>
      <c r="F239" s="31">
        <v>0</v>
      </c>
      <c r="G239" s="31">
        <v>0</v>
      </c>
      <c r="H239" s="31">
        <v>0</v>
      </c>
      <c r="I239" s="31">
        <v>0</v>
      </c>
      <c r="J239" s="31">
        <f>E239+F239+G239+H239</f>
        <v>113871</v>
      </c>
      <c r="K239" s="247">
        <f>J239/J$141*100</f>
        <v>2.6968286312726115E-3</v>
      </c>
    </row>
    <row r="240" spans="1:11" s="5" customFormat="1" ht="15" customHeight="1" x14ac:dyDescent="0.2">
      <c r="A240" s="99">
        <v>4141</v>
      </c>
      <c r="B240" s="100"/>
      <c r="C240" s="101" t="s">
        <v>29</v>
      </c>
      <c r="D240" s="21" t="s">
        <v>30</v>
      </c>
      <c r="E240" s="31">
        <v>585000</v>
      </c>
      <c r="F240" s="31">
        <v>0</v>
      </c>
      <c r="G240" s="31">
        <v>0</v>
      </c>
      <c r="H240" s="31">
        <v>0</v>
      </c>
      <c r="I240" s="31">
        <v>0</v>
      </c>
      <c r="J240" s="31">
        <f>E240+F240+G240+H240</f>
        <v>585000</v>
      </c>
      <c r="K240" s="248"/>
    </row>
    <row r="241" spans="1:11" s="5" customFormat="1" ht="15" customHeight="1" x14ac:dyDescent="0.2">
      <c r="A241" s="99">
        <v>4142</v>
      </c>
      <c r="B241" s="100"/>
      <c r="C241" s="101" t="s">
        <v>31</v>
      </c>
      <c r="D241" s="21" t="s">
        <v>32</v>
      </c>
      <c r="E241" s="31">
        <v>420779</v>
      </c>
      <c r="F241" s="31">
        <v>0</v>
      </c>
      <c r="G241" s="31">
        <v>0</v>
      </c>
      <c r="H241" s="31">
        <v>2769908</v>
      </c>
      <c r="I241" s="31">
        <v>0</v>
      </c>
      <c r="J241" s="31">
        <f>E241+F241+G241+H241</f>
        <v>3190687</v>
      </c>
      <c r="K241" s="247">
        <f>J241/J$141*100</f>
        <v>7.5565649331518242E-2</v>
      </c>
    </row>
    <row r="242" spans="1:11" s="5" customFormat="1" ht="15" customHeight="1" x14ac:dyDescent="0.2">
      <c r="A242" s="99">
        <v>4143</v>
      </c>
      <c r="B242" s="100"/>
      <c r="C242" s="101" t="s">
        <v>33</v>
      </c>
      <c r="D242" s="21" t="s">
        <v>34</v>
      </c>
      <c r="E242" s="31">
        <v>1479368</v>
      </c>
      <c r="F242" s="31">
        <v>0</v>
      </c>
      <c r="G242" s="31">
        <v>0</v>
      </c>
      <c r="H242" s="31">
        <v>0</v>
      </c>
      <c r="I242" s="31">
        <v>0</v>
      </c>
      <c r="J242" s="31">
        <f>E242+F242+G242+H242</f>
        <v>1479368</v>
      </c>
      <c r="K242" s="247">
        <f>J242/J$141*100</f>
        <v>3.5036154759231948E-2</v>
      </c>
    </row>
    <row r="243" spans="1:11" s="5" customFormat="1" ht="15" customHeight="1" x14ac:dyDescent="0.2">
      <c r="A243" s="99"/>
      <c r="B243" s="100"/>
      <c r="C243" s="101"/>
      <c r="D243" s="21" t="s">
        <v>462</v>
      </c>
      <c r="E243" s="31"/>
      <c r="F243" s="31"/>
      <c r="G243" s="31"/>
      <c r="H243" s="31"/>
      <c r="I243" s="31"/>
      <c r="J243" s="31"/>
      <c r="K243" s="248"/>
    </row>
    <row r="244" spans="1:11" s="5" customFormat="1" ht="15" customHeight="1" x14ac:dyDescent="0.25">
      <c r="A244" s="88">
        <v>42</v>
      </c>
      <c r="B244" s="89"/>
      <c r="C244" s="90" t="s">
        <v>35</v>
      </c>
      <c r="D244" s="22" t="s">
        <v>36</v>
      </c>
      <c r="E244" s="32">
        <f>E246</f>
        <v>73423778</v>
      </c>
      <c r="F244" s="32">
        <f>F246</f>
        <v>60410810</v>
      </c>
      <c r="G244" s="32">
        <f>G246</f>
        <v>270000</v>
      </c>
      <c r="H244" s="32">
        <f>H246</f>
        <v>1361513</v>
      </c>
      <c r="I244" s="32">
        <f>I246</f>
        <v>0</v>
      </c>
      <c r="J244" s="32">
        <f>E244+F244+G244+H244-I244</f>
        <v>135466101</v>
      </c>
      <c r="K244" s="245">
        <f>J244/J$141*100</f>
        <v>3.2082695308170415</v>
      </c>
    </row>
    <row r="245" spans="1:11" s="5" customFormat="1" ht="15" customHeight="1" x14ac:dyDescent="0.2">
      <c r="A245" s="99"/>
      <c r="B245" s="100"/>
      <c r="C245" s="101"/>
      <c r="D245" s="21" t="s">
        <v>462</v>
      </c>
      <c r="E245" s="31"/>
      <c r="F245" s="31"/>
      <c r="G245" s="31"/>
      <c r="H245" s="31"/>
      <c r="I245" s="31"/>
      <c r="J245" s="31"/>
      <c r="K245" s="248"/>
    </row>
    <row r="246" spans="1:11" s="5" customFormat="1" ht="15" customHeight="1" x14ac:dyDescent="0.2">
      <c r="A246" s="99">
        <v>420</v>
      </c>
      <c r="B246" s="100"/>
      <c r="C246" s="101" t="s">
        <v>37</v>
      </c>
      <c r="D246" s="21" t="s">
        <v>38</v>
      </c>
      <c r="E246" s="31">
        <f t="shared" ref="E246:J246" si="20">SUM(E247:E256)</f>
        <v>73423778</v>
      </c>
      <c r="F246" s="31">
        <f t="shared" si="20"/>
        <v>60410810</v>
      </c>
      <c r="G246" s="31">
        <f t="shared" si="20"/>
        <v>270000</v>
      </c>
      <c r="H246" s="31">
        <f t="shared" si="20"/>
        <v>1361513</v>
      </c>
      <c r="I246" s="31">
        <f t="shared" si="20"/>
        <v>0</v>
      </c>
      <c r="J246" s="31">
        <f t="shared" si="20"/>
        <v>135466101</v>
      </c>
      <c r="K246" s="247">
        <f>J246/J$141*100</f>
        <v>3.2082695308170415</v>
      </c>
    </row>
    <row r="247" spans="1:11" s="5" customFormat="1" ht="15" customHeight="1" x14ac:dyDescent="0.2">
      <c r="A247" s="99">
        <v>4200</v>
      </c>
      <c r="B247" s="100"/>
      <c r="C247" s="101" t="s">
        <v>39</v>
      </c>
      <c r="D247" s="21" t="s">
        <v>40</v>
      </c>
      <c r="E247" s="31">
        <v>5505153</v>
      </c>
      <c r="F247" s="31">
        <v>1694961</v>
      </c>
      <c r="G247" s="31">
        <v>0</v>
      </c>
      <c r="H247" s="31">
        <v>0</v>
      </c>
      <c r="I247" s="31">
        <v>0</v>
      </c>
      <c r="J247" s="31">
        <f>SUM(E247:I247)</f>
        <v>7200114</v>
      </c>
      <c r="K247" s="247"/>
    </row>
    <row r="248" spans="1:11" s="5" customFormat="1" ht="15" customHeight="1" x14ac:dyDescent="0.2">
      <c r="A248" s="99">
        <v>4201</v>
      </c>
      <c r="B248" s="100"/>
      <c r="C248" s="101" t="s">
        <v>41</v>
      </c>
      <c r="D248" s="21" t="s">
        <v>42</v>
      </c>
      <c r="E248" s="31">
        <v>1725379</v>
      </c>
      <c r="F248" s="31">
        <v>418563</v>
      </c>
      <c r="G248" s="31">
        <v>0</v>
      </c>
      <c r="H248" s="31">
        <v>0</v>
      </c>
      <c r="I248" s="31">
        <v>0</v>
      </c>
      <c r="J248" s="31">
        <f t="shared" ref="J248:J256" si="21">SUM(E248:I248)</f>
        <v>2143942</v>
      </c>
      <c r="K248" s="247"/>
    </row>
    <row r="249" spans="1:11" s="5" customFormat="1" ht="15" customHeight="1" x14ac:dyDescent="0.2">
      <c r="A249" s="99">
        <v>4202</v>
      </c>
      <c r="B249" s="100"/>
      <c r="C249" s="101" t="s">
        <v>43</v>
      </c>
      <c r="D249" s="21" t="s">
        <v>44</v>
      </c>
      <c r="E249" s="31">
        <v>16048155</v>
      </c>
      <c r="F249" s="31">
        <v>2456317</v>
      </c>
      <c r="G249" s="31">
        <v>0</v>
      </c>
      <c r="H249" s="31">
        <v>0</v>
      </c>
      <c r="I249" s="31">
        <v>0</v>
      </c>
      <c r="J249" s="31">
        <f t="shared" si="21"/>
        <v>18504472</v>
      </c>
      <c r="K249" s="247"/>
    </row>
    <row r="250" spans="1:11" s="5" customFormat="1" ht="15" customHeight="1" x14ac:dyDescent="0.2">
      <c r="A250" s="99">
        <v>4203</v>
      </c>
      <c r="B250" s="100"/>
      <c r="C250" s="101" t="s">
        <v>45</v>
      </c>
      <c r="D250" s="21" t="s">
        <v>46</v>
      </c>
      <c r="E250" s="31">
        <v>533811</v>
      </c>
      <c r="F250" s="31">
        <v>171780</v>
      </c>
      <c r="G250" s="31">
        <v>0</v>
      </c>
      <c r="H250" s="31">
        <v>0</v>
      </c>
      <c r="I250" s="31">
        <v>0</v>
      </c>
      <c r="J250" s="31">
        <f t="shared" si="21"/>
        <v>705591</v>
      </c>
      <c r="K250" s="247"/>
    </row>
    <row r="251" spans="1:11" s="5" customFormat="1" ht="15" customHeight="1" x14ac:dyDescent="0.2">
      <c r="A251" s="99">
        <v>4204</v>
      </c>
      <c r="B251" s="100"/>
      <c r="C251" s="101" t="s">
        <v>47</v>
      </c>
      <c r="D251" s="21" t="s">
        <v>48</v>
      </c>
      <c r="E251" s="31">
        <v>30805535</v>
      </c>
      <c r="F251" s="31">
        <v>38561608</v>
      </c>
      <c r="G251" s="31">
        <v>0</v>
      </c>
      <c r="H251" s="31">
        <v>0</v>
      </c>
      <c r="I251" s="31">
        <v>0</v>
      </c>
      <c r="J251" s="31">
        <f t="shared" si="21"/>
        <v>69367143</v>
      </c>
      <c r="K251" s="247"/>
    </row>
    <row r="252" spans="1:11" s="5" customFormat="1" ht="15" customHeight="1" x14ac:dyDescent="0.2">
      <c r="A252" s="99">
        <v>4205</v>
      </c>
      <c r="B252" s="100"/>
      <c r="C252" s="101" t="s">
        <v>49</v>
      </c>
      <c r="D252" s="21" t="s">
        <v>50</v>
      </c>
      <c r="E252" s="31">
        <v>11107184</v>
      </c>
      <c r="F252" s="31">
        <v>10459697</v>
      </c>
      <c r="G252" s="31">
        <v>270000</v>
      </c>
      <c r="H252" s="31">
        <v>1361513</v>
      </c>
      <c r="I252" s="31">
        <v>0</v>
      </c>
      <c r="J252" s="31">
        <f t="shared" si="21"/>
        <v>23198394</v>
      </c>
      <c r="K252" s="247"/>
    </row>
    <row r="253" spans="1:11" s="5" customFormat="1" ht="15" customHeight="1" x14ac:dyDescent="0.2">
      <c r="A253" s="99">
        <v>4206</v>
      </c>
      <c r="B253" s="100"/>
      <c r="C253" s="101" t="s">
        <v>51</v>
      </c>
      <c r="D253" s="21" t="s">
        <v>52</v>
      </c>
      <c r="E253" s="31">
        <v>1261269</v>
      </c>
      <c r="F253" s="31">
        <v>2447992</v>
      </c>
      <c r="G253" s="31">
        <v>0</v>
      </c>
      <c r="H253" s="31">
        <v>0</v>
      </c>
      <c r="I253" s="31">
        <v>0</v>
      </c>
      <c r="J253" s="31">
        <f t="shared" si="21"/>
        <v>3709261</v>
      </c>
      <c r="K253" s="247"/>
    </row>
    <row r="254" spans="1:11" s="5" customFormat="1" ht="15" customHeight="1" x14ac:dyDescent="0.2">
      <c r="A254" s="99">
        <v>4207</v>
      </c>
      <c r="B254" s="100"/>
      <c r="C254" s="101" t="s">
        <v>53</v>
      </c>
      <c r="D254" s="21" t="s">
        <v>54</v>
      </c>
      <c r="E254" s="31">
        <v>70464</v>
      </c>
      <c r="F254" s="31">
        <v>20000</v>
      </c>
      <c r="G254" s="31">
        <v>0</v>
      </c>
      <c r="H254" s="31">
        <v>0</v>
      </c>
      <c r="I254" s="31">
        <v>0</v>
      </c>
      <c r="J254" s="31">
        <f t="shared" si="21"/>
        <v>90464</v>
      </c>
      <c r="K254" s="247"/>
    </row>
    <row r="255" spans="1:11" s="5" customFormat="1" ht="15" customHeight="1" x14ac:dyDescent="0.2">
      <c r="A255" s="99">
        <v>4208</v>
      </c>
      <c r="B255" s="100"/>
      <c r="C255" s="101" t="s">
        <v>55</v>
      </c>
      <c r="D255" s="21" t="s">
        <v>56</v>
      </c>
      <c r="E255" s="31">
        <v>6344825</v>
      </c>
      <c r="F255" s="31">
        <v>4179892</v>
      </c>
      <c r="G255" s="31">
        <v>0</v>
      </c>
      <c r="H255" s="31">
        <v>0</v>
      </c>
      <c r="I255" s="31">
        <v>0</v>
      </c>
      <c r="J255" s="31">
        <f t="shared" si="21"/>
        <v>10524717</v>
      </c>
      <c r="K255" s="247"/>
    </row>
    <row r="256" spans="1:11" s="5" customFormat="1" ht="15" customHeight="1" x14ac:dyDescent="0.2">
      <c r="A256" s="99">
        <v>4209</v>
      </c>
      <c r="B256" s="100"/>
      <c r="C256" s="101" t="s">
        <v>57</v>
      </c>
      <c r="D256" s="21" t="s">
        <v>58</v>
      </c>
      <c r="E256" s="31">
        <v>22003</v>
      </c>
      <c r="F256" s="31">
        <v>0</v>
      </c>
      <c r="G256" s="31">
        <v>0</v>
      </c>
      <c r="H256" s="31">
        <v>0</v>
      </c>
      <c r="I256" s="31">
        <v>0</v>
      </c>
      <c r="J256" s="31">
        <f t="shared" si="21"/>
        <v>22003</v>
      </c>
      <c r="K256" s="247"/>
    </row>
    <row r="257" spans="1:11" s="5" customFormat="1" ht="15" customHeight="1" x14ac:dyDescent="0.2">
      <c r="A257" s="99"/>
      <c r="B257" s="100"/>
      <c r="C257" s="101"/>
      <c r="D257" s="21"/>
      <c r="E257" s="31"/>
      <c r="F257" s="31"/>
      <c r="G257" s="31"/>
      <c r="H257" s="31"/>
      <c r="I257" s="31"/>
      <c r="J257" s="31"/>
      <c r="K257" s="248"/>
    </row>
    <row r="258" spans="1:11" s="5" customFormat="1" ht="15" customHeight="1" x14ac:dyDescent="0.25">
      <c r="A258" s="88">
        <v>43</v>
      </c>
      <c r="B258" s="89"/>
      <c r="C258" s="90" t="s">
        <v>59</v>
      </c>
      <c r="D258" s="22" t="s">
        <v>60</v>
      </c>
      <c r="E258" s="32">
        <f>E260</f>
        <v>52978238</v>
      </c>
      <c r="F258" s="32">
        <f>F260</f>
        <v>17753425</v>
      </c>
      <c r="G258" s="32">
        <f>G260</f>
        <v>0</v>
      </c>
      <c r="H258" s="32">
        <f>H260</f>
        <v>0</v>
      </c>
      <c r="I258" s="32">
        <f>I260</f>
        <v>11445401</v>
      </c>
      <c r="J258" s="32">
        <f>E258+F258+G258+H258-I258</f>
        <v>59286262</v>
      </c>
      <c r="K258" s="245">
        <f>J258/J$141*100</f>
        <v>1.4040878608489382</v>
      </c>
    </row>
    <row r="259" spans="1:11" s="5" customFormat="1" ht="15" customHeight="1" x14ac:dyDescent="0.2">
      <c r="A259" s="99"/>
      <c r="B259" s="100"/>
      <c r="C259" s="101"/>
      <c r="D259" s="21" t="s">
        <v>462</v>
      </c>
      <c r="E259" s="31"/>
      <c r="F259" s="31"/>
      <c r="G259" s="31"/>
      <c r="H259" s="31"/>
      <c r="I259" s="31"/>
      <c r="J259" s="31"/>
      <c r="K259" s="248"/>
    </row>
    <row r="260" spans="1:11" s="5" customFormat="1" ht="15" customHeight="1" x14ac:dyDescent="0.2">
      <c r="A260" s="99">
        <v>430</v>
      </c>
      <c r="B260" s="100"/>
      <c r="C260" s="101" t="s">
        <v>61</v>
      </c>
      <c r="D260" s="21" t="s">
        <v>60</v>
      </c>
      <c r="E260" s="31">
        <f>SUM(E262:E270)</f>
        <v>52978238</v>
      </c>
      <c r="F260" s="31">
        <f>SUM(F262:F270)</f>
        <v>17753425</v>
      </c>
      <c r="G260" s="31">
        <f>SUM(G262:G270)</f>
        <v>0</v>
      </c>
      <c r="H260" s="31">
        <f>SUM(H262:H270)</f>
        <v>0</v>
      </c>
      <c r="I260" s="31">
        <f>SUM(I262:I270)</f>
        <v>11445401</v>
      </c>
      <c r="J260" s="31">
        <f>E260+F260+G260+H260-I260</f>
        <v>59286262</v>
      </c>
      <c r="K260" s="247">
        <f>J260/J$141*100</f>
        <v>1.4040878608489382</v>
      </c>
    </row>
    <row r="261" spans="1:11" s="5" customFormat="1" ht="15" customHeight="1" x14ac:dyDescent="0.2">
      <c r="A261" s="99"/>
      <c r="B261" s="100"/>
      <c r="C261" s="101"/>
      <c r="D261" s="21"/>
      <c r="E261" s="31"/>
      <c r="F261" s="31"/>
      <c r="G261" s="31"/>
      <c r="H261" s="31"/>
      <c r="I261" s="31"/>
      <c r="J261" s="31"/>
      <c r="K261" s="248"/>
    </row>
    <row r="262" spans="1:11" s="5" customFormat="1" ht="15" customHeight="1" x14ac:dyDescent="0.2">
      <c r="A262" s="210">
        <v>4300</v>
      </c>
      <c r="B262" s="319"/>
      <c r="C262" s="357" t="s">
        <v>62</v>
      </c>
      <c r="D262" s="23" t="s">
        <v>64</v>
      </c>
      <c r="E262" s="33">
        <v>9647307</v>
      </c>
      <c r="F262" s="33">
        <v>1798094</v>
      </c>
      <c r="G262" s="33">
        <v>0</v>
      </c>
      <c r="H262" s="33">
        <v>0</v>
      </c>
      <c r="I262" s="33">
        <f>E262+F262+G262+H262</f>
        <v>11445401</v>
      </c>
      <c r="J262" s="33">
        <f>E262+F262+G262+H262-I262</f>
        <v>0</v>
      </c>
      <c r="K262" s="251"/>
    </row>
    <row r="263" spans="1:11" s="5" customFormat="1" ht="15" customHeight="1" x14ac:dyDescent="0.2">
      <c r="A263" s="99">
        <v>4301</v>
      </c>
      <c r="B263" s="100"/>
      <c r="C263" s="101" t="s">
        <v>65</v>
      </c>
      <c r="D263" s="21" t="s">
        <v>66</v>
      </c>
      <c r="E263" s="31">
        <v>220972</v>
      </c>
      <c r="F263" s="31">
        <v>1313701</v>
      </c>
      <c r="G263" s="31">
        <v>0</v>
      </c>
      <c r="H263" s="31">
        <v>0</v>
      </c>
      <c r="I263" s="31">
        <v>0</v>
      </c>
      <c r="J263" s="31">
        <f t="shared" ref="J263:J270" si="22">E263+F263+G263+H263</f>
        <v>1534673</v>
      </c>
      <c r="K263" s="247">
        <f t="shared" ref="K263:K270" si="23">J263/J$141*100</f>
        <v>3.6345953632101524E-2</v>
      </c>
    </row>
    <row r="264" spans="1:11" s="5" customFormat="1" ht="15" customHeight="1" x14ac:dyDescent="0.2">
      <c r="A264" s="99">
        <v>4302</v>
      </c>
      <c r="B264" s="100"/>
      <c r="C264" s="101" t="s">
        <v>67</v>
      </c>
      <c r="D264" s="21" t="s">
        <v>68</v>
      </c>
      <c r="E264" s="31">
        <v>1224852</v>
      </c>
      <c r="F264" s="31">
        <v>1105667</v>
      </c>
      <c r="G264" s="31">
        <v>0</v>
      </c>
      <c r="H264" s="31">
        <v>0</v>
      </c>
      <c r="I264" s="31">
        <v>0</v>
      </c>
      <c r="J264" s="31">
        <f t="shared" si="22"/>
        <v>2330519</v>
      </c>
      <c r="K264" s="247">
        <f t="shared" si="23"/>
        <v>5.5194126379190619E-2</v>
      </c>
    </row>
    <row r="265" spans="1:11" s="5" customFormat="1" ht="15" customHeight="1" x14ac:dyDescent="0.2">
      <c r="A265" s="99">
        <v>4303</v>
      </c>
      <c r="B265" s="100"/>
      <c r="C265" s="101" t="s">
        <v>69</v>
      </c>
      <c r="D265" s="21" t="s">
        <v>70</v>
      </c>
      <c r="E265" s="31">
        <v>29984569</v>
      </c>
      <c r="F265" s="31">
        <v>2311950</v>
      </c>
      <c r="G265" s="31">
        <v>0</v>
      </c>
      <c r="H265" s="31">
        <v>0</v>
      </c>
      <c r="I265" s="31">
        <v>0</v>
      </c>
      <c r="J265" s="31">
        <f t="shared" si="22"/>
        <v>32296519</v>
      </c>
      <c r="K265" s="247">
        <f t="shared" si="23"/>
        <v>0.76488462496719878</v>
      </c>
    </row>
    <row r="266" spans="1:11" s="5" customFormat="1" ht="15" customHeight="1" x14ac:dyDescent="0.2">
      <c r="A266" s="99">
        <v>4304</v>
      </c>
      <c r="B266" s="100"/>
      <c r="C266" s="101" t="s">
        <v>71</v>
      </c>
      <c r="D266" s="21" t="s">
        <v>72</v>
      </c>
      <c r="E266" s="31">
        <v>0</v>
      </c>
      <c r="F266" s="31">
        <v>0</v>
      </c>
      <c r="G266" s="31">
        <v>0</v>
      </c>
      <c r="H266" s="31">
        <v>0</v>
      </c>
      <c r="I266" s="31">
        <v>0</v>
      </c>
      <c r="J266" s="31">
        <f t="shared" si="22"/>
        <v>0</v>
      </c>
      <c r="K266" s="247">
        <f t="shared" si="23"/>
        <v>0</v>
      </c>
    </row>
    <row r="267" spans="1:11" s="5" customFormat="1" ht="15" customHeight="1" x14ac:dyDescent="0.2">
      <c r="A267" s="99">
        <v>4305</v>
      </c>
      <c r="B267" s="100"/>
      <c r="C267" s="101" t="s">
        <v>73</v>
      </c>
      <c r="D267" s="21" t="s">
        <v>74</v>
      </c>
      <c r="E267" s="31">
        <v>4635256</v>
      </c>
      <c r="F267" s="31">
        <v>473587</v>
      </c>
      <c r="G267" s="31">
        <v>0</v>
      </c>
      <c r="H267" s="31">
        <v>0</v>
      </c>
      <c r="I267" s="31">
        <v>0</v>
      </c>
      <c r="J267" s="31">
        <f t="shared" si="22"/>
        <v>5108843</v>
      </c>
      <c r="K267" s="247">
        <f t="shared" si="23"/>
        <v>0.12099370406053044</v>
      </c>
    </row>
    <row r="268" spans="1:11" s="5" customFormat="1" ht="15" customHeight="1" x14ac:dyDescent="0.2">
      <c r="A268" s="99">
        <v>4306</v>
      </c>
      <c r="B268" s="100"/>
      <c r="C268" s="101" t="s">
        <v>75</v>
      </c>
      <c r="D268" s="21" t="s">
        <v>76</v>
      </c>
      <c r="E268" s="31">
        <v>894473</v>
      </c>
      <c r="F268" s="31">
        <v>250000</v>
      </c>
      <c r="G268" s="31">
        <v>0</v>
      </c>
      <c r="H268" s="31">
        <v>0</v>
      </c>
      <c r="I268" s="31">
        <v>0</v>
      </c>
      <c r="J268" s="31">
        <f t="shared" si="22"/>
        <v>1144473</v>
      </c>
      <c r="K268" s="247">
        <f t="shared" si="23"/>
        <v>2.7104772541897935E-2</v>
      </c>
    </row>
    <row r="269" spans="1:11" s="5" customFormat="1" ht="15" customHeight="1" x14ac:dyDescent="0.2">
      <c r="A269" s="99">
        <v>4307</v>
      </c>
      <c r="B269" s="100"/>
      <c r="C269" s="101" t="s">
        <v>77</v>
      </c>
      <c r="D269" s="21" t="s">
        <v>78</v>
      </c>
      <c r="E269" s="31">
        <v>6370709</v>
      </c>
      <c r="F269" s="31">
        <v>10500426</v>
      </c>
      <c r="G269" s="31">
        <v>0</v>
      </c>
      <c r="H269" s="31">
        <v>0</v>
      </c>
      <c r="I269" s="31">
        <v>0</v>
      </c>
      <c r="J269" s="31">
        <f t="shared" si="22"/>
        <v>16871135</v>
      </c>
      <c r="K269" s="247">
        <f t="shared" si="23"/>
        <v>0.39956231094892858</v>
      </c>
    </row>
    <row r="270" spans="1:11" s="5" customFormat="1" ht="15" customHeight="1" x14ac:dyDescent="0.2">
      <c r="A270" s="99">
        <v>4308</v>
      </c>
      <c r="B270" s="100"/>
      <c r="C270" s="101" t="s">
        <v>79</v>
      </c>
      <c r="D270" s="21" t="s">
        <v>82</v>
      </c>
      <c r="E270" s="31">
        <v>100</v>
      </c>
      <c r="F270" s="31">
        <v>0</v>
      </c>
      <c r="G270" s="31">
        <v>0</v>
      </c>
      <c r="H270" s="31">
        <v>0</v>
      </c>
      <c r="I270" s="31">
        <v>0</v>
      </c>
      <c r="J270" s="31">
        <f t="shared" si="22"/>
        <v>100</v>
      </c>
      <c r="K270" s="247">
        <f t="shared" si="23"/>
        <v>2.3683190902623247E-6</v>
      </c>
    </row>
    <row r="271" spans="1:11" s="5" customFormat="1" ht="15.75" customHeight="1" thickBot="1" x14ac:dyDescent="0.25">
      <c r="A271" s="310"/>
      <c r="B271" s="320"/>
      <c r="C271" s="358"/>
      <c r="D271" s="24"/>
      <c r="E271" s="35"/>
      <c r="F271" s="35"/>
      <c r="G271" s="35"/>
      <c r="H271" s="35"/>
      <c r="I271" s="35"/>
      <c r="J271" s="35"/>
      <c r="K271" s="253"/>
    </row>
    <row r="272" spans="1:11" s="5" customFormat="1" ht="15.75" customHeight="1" thickTop="1" x14ac:dyDescent="0.2">
      <c r="A272" s="311"/>
      <c r="B272" s="321"/>
      <c r="C272" s="371"/>
      <c r="D272" s="25"/>
      <c r="E272" s="36"/>
      <c r="F272" s="36"/>
      <c r="G272" s="36"/>
      <c r="H272" s="36"/>
      <c r="I272" s="36"/>
      <c r="J272" s="36"/>
      <c r="K272" s="302"/>
    </row>
    <row r="273" spans="1:11" s="5" customFormat="1" ht="15.75" customHeight="1" thickBot="1" x14ac:dyDescent="0.25">
      <c r="A273" s="99"/>
      <c r="B273" s="100"/>
      <c r="C273" s="101"/>
      <c r="D273" s="21"/>
      <c r="E273" s="31"/>
      <c r="F273" s="31"/>
      <c r="G273" s="31"/>
      <c r="H273" s="31"/>
      <c r="I273" s="31"/>
      <c r="J273" s="31"/>
      <c r="K273" s="253"/>
    </row>
    <row r="274" spans="1:11" s="5" customFormat="1" ht="19.5" customHeight="1" thickTop="1" thickBot="1" x14ac:dyDescent="0.3">
      <c r="A274" s="13"/>
      <c r="B274" s="18" t="s">
        <v>83</v>
      </c>
      <c r="C274" s="361" t="s">
        <v>828</v>
      </c>
      <c r="D274" s="20" t="s">
        <v>85</v>
      </c>
      <c r="E274" s="30">
        <f t="shared" ref="E274:J274" si="24">E22-E144</f>
        <v>-38393135</v>
      </c>
      <c r="F274" s="30">
        <f t="shared" si="24"/>
        <v>-3273625</v>
      </c>
      <c r="G274" s="30">
        <f t="shared" si="24"/>
        <v>-1449063</v>
      </c>
      <c r="H274" s="30">
        <f t="shared" si="24"/>
        <v>-4112353</v>
      </c>
      <c r="I274" s="30">
        <f t="shared" si="24"/>
        <v>-239968</v>
      </c>
      <c r="J274" s="46">
        <f t="shared" si="24"/>
        <v>-46988208</v>
      </c>
      <c r="K274" s="275">
        <f>J274/J$141*100</f>
        <v>-1.1128307002361688</v>
      </c>
    </row>
    <row r="275" spans="1:11" s="5" customFormat="1" ht="18.75" customHeight="1" thickTop="1" x14ac:dyDescent="0.25">
      <c r="A275" s="13"/>
      <c r="B275" s="18"/>
      <c r="C275" s="361" t="s">
        <v>829</v>
      </c>
      <c r="D275" s="20" t="s">
        <v>87</v>
      </c>
      <c r="E275" s="30"/>
      <c r="F275" s="30"/>
      <c r="G275" s="30"/>
      <c r="H275" s="30"/>
      <c r="I275" s="30"/>
      <c r="J275" s="30">
        <f>+E274+F274+G274+H274</f>
        <v>-47228176</v>
      </c>
      <c r="K275" s="301"/>
    </row>
    <row r="276" spans="1:11" s="5" customFormat="1" ht="15" customHeight="1" x14ac:dyDescent="0.25">
      <c r="A276" s="88"/>
      <c r="B276" s="89"/>
      <c r="C276" s="90" t="s">
        <v>88</v>
      </c>
      <c r="D276" s="22" t="s">
        <v>88</v>
      </c>
      <c r="E276" s="32"/>
      <c r="F276" s="32"/>
      <c r="G276" s="32"/>
      <c r="H276" s="32"/>
      <c r="I276" s="32"/>
      <c r="J276" s="32"/>
      <c r="K276" s="252"/>
    </row>
    <row r="277" spans="1:11" s="5" customFormat="1" ht="15" customHeight="1" x14ac:dyDescent="0.25">
      <c r="A277" s="88"/>
      <c r="B277" s="89"/>
      <c r="C277" s="90" t="s">
        <v>864</v>
      </c>
      <c r="D277" s="22" t="s">
        <v>89</v>
      </c>
      <c r="E277" s="32"/>
      <c r="F277" s="32"/>
      <c r="G277" s="32"/>
      <c r="H277" s="32"/>
      <c r="I277" s="32"/>
      <c r="J277" s="32"/>
      <c r="K277" s="252"/>
    </row>
    <row r="278" spans="1:11" s="5" customFormat="1" ht="15" customHeight="1" thickBot="1" x14ac:dyDescent="0.3">
      <c r="A278" s="359"/>
      <c r="B278" s="360"/>
      <c r="C278" s="379"/>
      <c r="D278" s="254"/>
      <c r="E278" s="255"/>
      <c r="F278" s="255"/>
      <c r="G278" s="255"/>
      <c r="H278" s="255"/>
      <c r="I278" s="255"/>
      <c r="J278" s="255"/>
      <c r="K278" s="256"/>
    </row>
    <row r="279" spans="1:11" s="5" customFormat="1" ht="15" customHeight="1" thickTop="1" x14ac:dyDescent="0.2">
      <c r="A279" s="309"/>
      <c r="B279" s="318"/>
      <c r="C279" s="63"/>
      <c r="D279" s="19"/>
      <c r="E279" s="326"/>
      <c r="F279" s="326"/>
      <c r="G279" s="326"/>
      <c r="H279" s="326"/>
      <c r="I279" s="326"/>
      <c r="J279" s="326"/>
      <c r="K279" s="327"/>
    </row>
    <row r="280" spans="1:11" s="5" customFormat="1" ht="15" customHeight="1" x14ac:dyDescent="0.25">
      <c r="A280" s="13"/>
      <c r="B280" s="18" t="s">
        <v>90</v>
      </c>
      <c r="C280" s="361" t="s">
        <v>91</v>
      </c>
      <c r="D280" s="20" t="s">
        <v>92</v>
      </c>
      <c r="E280" s="30">
        <f t="shared" ref="E280:J280" si="25">(E22-E82)-(E144-E184-E191)</f>
        <v>18619149</v>
      </c>
      <c r="F280" s="30">
        <f t="shared" si="25"/>
        <v>-3857736</v>
      </c>
      <c r="G280" s="30">
        <f t="shared" si="25"/>
        <v>-1838448</v>
      </c>
      <c r="H280" s="30">
        <f t="shared" si="25"/>
        <v>-4814640</v>
      </c>
      <c r="I280" s="30">
        <f t="shared" si="25"/>
        <v>-239968</v>
      </c>
      <c r="J280" s="30">
        <f t="shared" si="25"/>
        <v>8348293</v>
      </c>
      <c r="K280" s="269">
        <f>J280/J$141*100</f>
        <v>0.19771421683003332</v>
      </c>
    </row>
    <row r="281" spans="1:11" s="5" customFormat="1" ht="15" customHeight="1" x14ac:dyDescent="0.25">
      <c r="A281" s="13"/>
      <c r="B281" s="18"/>
      <c r="C281" s="361" t="s">
        <v>93</v>
      </c>
      <c r="D281" s="20" t="s">
        <v>94</v>
      </c>
      <c r="E281" s="30"/>
      <c r="F281" s="30"/>
      <c r="G281" s="30"/>
      <c r="H281" s="30"/>
      <c r="I281" s="30"/>
      <c r="J281" s="15"/>
      <c r="K281" s="270"/>
    </row>
    <row r="282" spans="1:11" s="5" customFormat="1" ht="15" customHeight="1" x14ac:dyDescent="0.25">
      <c r="A282" s="88"/>
      <c r="B282" s="89"/>
      <c r="C282" s="90" t="s">
        <v>95</v>
      </c>
      <c r="D282" s="22" t="s">
        <v>95</v>
      </c>
      <c r="E282" s="32"/>
      <c r="F282" s="32"/>
      <c r="G282" s="32"/>
      <c r="H282" s="32"/>
      <c r="I282" s="32"/>
      <c r="J282" s="29"/>
      <c r="K282" s="252"/>
    </row>
    <row r="283" spans="1:11" s="5" customFormat="1" ht="15" customHeight="1" thickBot="1" x14ac:dyDescent="0.25">
      <c r="A283" s="310"/>
      <c r="B283" s="320"/>
      <c r="C283" s="358"/>
      <c r="D283" s="24"/>
      <c r="E283" s="35"/>
      <c r="F283" s="35"/>
      <c r="G283" s="35"/>
      <c r="H283" s="35"/>
      <c r="I283" s="35"/>
      <c r="J283" s="35"/>
      <c r="K283" s="271"/>
    </row>
    <row r="284" spans="1:11" s="5" customFormat="1" ht="15" customHeight="1" thickTop="1" x14ac:dyDescent="0.2">
      <c r="A284" s="309"/>
      <c r="B284" s="318"/>
      <c r="C284" s="63"/>
      <c r="D284" s="19"/>
      <c r="E284" s="326"/>
      <c r="F284" s="326"/>
      <c r="G284" s="326"/>
      <c r="H284" s="326"/>
      <c r="I284" s="326"/>
      <c r="J284" s="326"/>
      <c r="K284" s="327"/>
    </row>
    <row r="285" spans="1:11" s="5" customFormat="1" ht="15" customHeight="1" x14ac:dyDescent="0.25">
      <c r="A285" s="13"/>
      <c r="B285" s="18" t="s">
        <v>96</v>
      </c>
      <c r="C285" s="361" t="s">
        <v>97</v>
      </c>
      <c r="D285" s="20" t="s">
        <v>98</v>
      </c>
      <c r="E285" s="30">
        <f>E25-(E147+E202)</f>
        <v>74210209</v>
      </c>
      <c r="F285" s="30">
        <f>F25-(F147+F202)</f>
        <v>21739073</v>
      </c>
      <c r="G285" s="30">
        <f>G25-(G147+G202)</f>
        <v>-166474932</v>
      </c>
      <c r="H285" s="30">
        <f>H25-(H147+H202)</f>
        <v>-49274268</v>
      </c>
      <c r="I285" s="30">
        <f>I25-(I147+I202)</f>
        <v>-244951015</v>
      </c>
      <c r="J285" s="30">
        <f>(J25+J130)-(J147+J202)</f>
        <v>125151097</v>
      </c>
      <c r="K285" s="269">
        <f>J285/J$141*100</f>
        <v>2.9639773219237191</v>
      </c>
    </row>
    <row r="286" spans="1:11" s="5" customFormat="1" ht="15" customHeight="1" x14ac:dyDescent="0.25">
      <c r="A286" s="13"/>
      <c r="B286" s="18"/>
      <c r="C286" s="361" t="s">
        <v>93</v>
      </c>
      <c r="D286" s="20" t="s">
        <v>94</v>
      </c>
      <c r="E286" s="30"/>
      <c r="F286" s="30"/>
      <c r="G286" s="30"/>
      <c r="H286" s="30"/>
      <c r="I286" s="30"/>
      <c r="J286" s="15"/>
      <c r="K286" s="270"/>
    </row>
    <row r="287" spans="1:11" s="5" customFormat="1" ht="15" customHeight="1" x14ac:dyDescent="0.25">
      <c r="A287" s="88"/>
      <c r="B287" s="89"/>
      <c r="C287" s="90" t="s">
        <v>99</v>
      </c>
      <c r="D287" s="22" t="s">
        <v>99</v>
      </c>
      <c r="E287" s="32"/>
      <c r="F287" s="32"/>
      <c r="G287" s="32"/>
      <c r="H287" s="32"/>
      <c r="I287" s="32"/>
      <c r="J287" s="29"/>
      <c r="K287" s="252"/>
    </row>
    <row r="288" spans="1:11" s="5" customFormat="1" ht="15.75" customHeight="1" thickBot="1" x14ac:dyDescent="0.25">
      <c r="A288" s="312"/>
      <c r="B288" s="322"/>
      <c r="C288" s="372"/>
      <c r="D288" s="26"/>
      <c r="E288" s="38"/>
      <c r="F288" s="38"/>
      <c r="G288" s="38"/>
      <c r="H288" s="38"/>
      <c r="I288" s="38"/>
      <c r="J288" s="38"/>
      <c r="K288" s="303"/>
    </row>
    <row r="289" spans="1:11" s="5" customFormat="1" ht="15.75" customHeight="1" thickTop="1" x14ac:dyDescent="0.2">
      <c r="A289" s="313"/>
      <c r="B289" s="313"/>
      <c r="C289" s="59"/>
      <c r="D289" s="16"/>
      <c r="E289" s="39"/>
      <c r="F289" s="39"/>
      <c r="G289" s="39"/>
      <c r="H289" s="39"/>
      <c r="I289" s="39"/>
      <c r="J289" s="39"/>
      <c r="K289" s="39"/>
    </row>
    <row r="290" spans="1:11" s="5" customFormat="1" ht="15" customHeight="1" x14ac:dyDescent="0.2">
      <c r="A290" s="52"/>
      <c r="B290" s="52"/>
      <c r="C290" s="12"/>
      <c r="D290" s="4"/>
      <c r="E290" s="37"/>
      <c r="F290" s="37"/>
      <c r="G290" s="37"/>
      <c r="H290" s="37"/>
      <c r="I290" s="37"/>
      <c r="J290" s="37"/>
      <c r="K290" s="37"/>
    </row>
    <row r="291" spans="1:11" s="5" customFormat="1" ht="15" customHeight="1" x14ac:dyDescent="0.2">
      <c r="A291" s="52"/>
      <c r="B291" s="52"/>
      <c r="C291" s="12"/>
      <c r="D291" s="4"/>
      <c r="E291" s="37"/>
      <c r="F291" s="37"/>
      <c r="G291" s="37"/>
      <c r="H291" s="37"/>
      <c r="I291" s="37"/>
      <c r="J291" s="37"/>
      <c r="K291" s="37"/>
    </row>
    <row r="292" spans="1:11" s="5" customFormat="1" ht="23.25" customHeight="1" x14ac:dyDescent="0.35">
      <c r="A292" s="17"/>
      <c r="B292" s="316" t="s">
        <v>841</v>
      </c>
      <c r="C292" s="262" t="s">
        <v>842</v>
      </c>
      <c r="D292" s="262" t="s">
        <v>843</v>
      </c>
      <c r="E292" s="262"/>
      <c r="F292" s="262"/>
      <c r="G292" s="262"/>
      <c r="H292" s="330"/>
      <c r="I292" s="328"/>
      <c r="J292" s="328"/>
      <c r="K292" s="328"/>
    </row>
    <row r="293" spans="1:11" s="5" customFormat="1" ht="20.25" customHeight="1" x14ac:dyDescent="0.3">
      <c r="A293" s="52"/>
      <c r="B293" s="52"/>
      <c r="C293" s="355"/>
      <c r="D293" s="11"/>
      <c r="E293" s="4"/>
      <c r="F293" s="4"/>
      <c r="G293" s="4"/>
      <c r="H293" s="4"/>
      <c r="I293" s="4"/>
      <c r="J293" s="4"/>
      <c r="K293" s="4"/>
    </row>
    <row r="294" spans="1:11" s="5" customFormat="1" ht="15" customHeight="1" x14ac:dyDescent="0.2">
      <c r="A294" s="52"/>
      <c r="B294" s="52"/>
      <c r="C294" s="12"/>
      <c r="D294" s="4"/>
      <c r="E294" s="4"/>
      <c r="F294" s="4"/>
      <c r="G294" s="4"/>
      <c r="H294" s="4"/>
      <c r="I294" s="4"/>
      <c r="J294" s="4"/>
      <c r="K294" s="4"/>
    </row>
    <row r="295" spans="1:11" s="5" customFormat="1" ht="16.5" customHeight="1" thickBot="1" x14ac:dyDescent="0.3">
      <c r="A295" s="305"/>
      <c r="B295" s="305"/>
      <c r="C295" s="346"/>
      <c r="D295" s="346"/>
      <c r="E295" s="241"/>
      <c r="F295" s="241"/>
      <c r="G295" s="241"/>
      <c r="H295" s="241"/>
      <c r="I295" s="55" t="s">
        <v>208</v>
      </c>
      <c r="J295" s="55"/>
      <c r="K295" s="241"/>
    </row>
    <row r="296" spans="1:11" s="5" customFormat="1" ht="16.5" customHeight="1" thickTop="1" x14ac:dyDescent="0.25">
      <c r="A296" s="306"/>
      <c r="B296" s="317"/>
      <c r="C296" s="347"/>
      <c r="D296" s="373"/>
      <c r="E296" s="334"/>
      <c r="F296" s="335"/>
      <c r="G296" s="335"/>
      <c r="H296" s="335"/>
      <c r="I296" s="335"/>
      <c r="J296" s="339"/>
      <c r="K296" s="276"/>
    </row>
    <row r="297" spans="1:11" s="5" customFormat="1" ht="20.25" customHeight="1" x14ac:dyDescent="0.3">
      <c r="A297" s="307"/>
      <c r="B297" s="242"/>
      <c r="C297" s="345"/>
      <c r="D297" s="374"/>
      <c r="E297" s="336" t="s">
        <v>827</v>
      </c>
      <c r="F297" s="337"/>
      <c r="G297" s="337"/>
      <c r="H297" s="337"/>
      <c r="I297" s="337"/>
      <c r="J297" s="340"/>
      <c r="K297" s="277" t="s">
        <v>209</v>
      </c>
    </row>
    <row r="298" spans="1:11" s="5" customFormat="1" ht="15.75" customHeight="1" x14ac:dyDescent="0.25">
      <c r="A298" s="307"/>
      <c r="B298" s="242"/>
      <c r="C298" s="345"/>
      <c r="D298" s="374"/>
      <c r="E298" s="278"/>
      <c r="F298" s="279"/>
      <c r="G298" s="280"/>
      <c r="H298" s="281"/>
      <c r="I298" s="282" t="s">
        <v>210</v>
      </c>
      <c r="J298" s="282" t="s">
        <v>211</v>
      </c>
      <c r="K298" s="277" t="s">
        <v>212</v>
      </c>
    </row>
    <row r="299" spans="1:11" s="5" customFormat="1" ht="15.75" customHeight="1" x14ac:dyDescent="0.25">
      <c r="A299" s="329" t="s">
        <v>213</v>
      </c>
      <c r="B299" s="242"/>
      <c r="C299" s="345"/>
      <c r="D299" s="374"/>
      <c r="E299" s="283" t="s">
        <v>214</v>
      </c>
      <c r="F299" s="284" t="s">
        <v>215</v>
      </c>
      <c r="G299" s="288" t="s">
        <v>216</v>
      </c>
      <c r="H299" s="289" t="s">
        <v>217</v>
      </c>
      <c r="I299" s="285" t="s">
        <v>218</v>
      </c>
      <c r="J299" s="285" t="s">
        <v>219</v>
      </c>
      <c r="K299" s="277" t="s">
        <v>220</v>
      </c>
    </row>
    <row r="300" spans="1:11" s="5" customFormat="1" ht="15.75" customHeight="1" x14ac:dyDescent="0.25">
      <c r="A300" s="307"/>
      <c r="B300" s="242"/>
      <c r="C300" s="345"/>
      <c r="D300" s="374"/>
      <c r="E300" s="283" t="s">
        <v>221</v>
      </c>
      <c r="F300" s="284" t="s">
        <v>222</v>
      </c>
      <c r="G300" s="288"/>
      <c r="H300" s="289"/>
      <c r="I300" s="294" t="s">
        <v>223</v>
      </c>
      <c r="J300" s="285" t="s">
        <v>224</v>
      </c>
      <c r="K300" s="277" t="s">
        <v>225</v>
      </c>
    </row>
    <row r="301" spans="1:11" s="5" customFormat="1" ht="16.5" customHeight="1" thickBot="1" x14ac:dyDescent="0.3">
      <c r="A301" s="308"/>
      <c r="B301" s="243"/>
      <c r="C301" s="346"/>
      <c r="D301" s="375"/>
      <c r="E301" s="290"/>
      <c r="F301" s="291"/>
      <c r="G301" s="292"/>
      <c r="H301" s="293"/>
      <c r="I301" s="295" t="s">
        <v>226</v>
      </c>
      <c r="J301" s="286"/>
      <c r="K301" s="287" t="s">
        <v>228</v>
      </c>
    </row>
    <row r="302" spans="1:11" s="5" customFormat="1" ht="15.75" customHeight="1" thickTop="1" x14ac:dyDescent="0.2">
      <c r="A302" s="314"/>
      <c r="B302" s="323"/>
      <c r="C302" s="356"/>
      <c r="D302" s="376"/>
      <c r="E302" s="189" t="s">
        <v>229</v>
      </c>
      <c r="F302" s="189" t="s">
        <v>230</v>
      </c>
      <c r="G302" s="189" t="s">
        <v>231</v>
      </c>
      <c r="H302" s="189" t="s">
        <v>232</v>
      </c>
      <c r="I302" s="189" t="s">
        <v>233</v>
      </c>
      <c r="J302" s="189" t="s">
        <v>234</v>
      </c>
      <c r="K302" s="258"/>
    </row>
    <row r="303" spans="1:11" s="5" customFormat="1" ht="20.25" customHeight="1" thickBot="1" x14ac:dyDescent="0.3">
      <c r="A303" s="13"/>
      <c r="B303" s="18" t="s">
        <v>100</v>
      </c>
      <c r="C303" s="361" t="s">
        <v>674</v>
      </c>
      <c r="D303" s="20" t="s">
        <v>675</v>
      </c>
      <c r="E303" s="30"/>
      <c r="F303" s="30"/>
      <c r="G303" s="30"/>
      <c r="H303" s="30"/>
      <c r="I303" s="30"/>
      <c r="J303" s="30"/>
      <c r="K303" s="385"/>
    </row>
    <row r="304" spans="1:11" s="5" customFormat="1" ht="16.5" customHeight="1" thickTop="1" thickBot="1" x14ac:dyDescent="0.3">
      <c r="A304" s="13"/>
      <c r="B304" s="18"/>
      <c r="C304" s="361" t="s">
        <v>676</v>
      </c>
      <c r="D304" s="20" t="s">
        <v>677</v>
      </c>
      <c r="E304" s="30">
        <f t="shared" ref="E304:J304" si="26">E306+E315+E320</f>
        <v>30904300</v>
      </c>
      <c r="F304" s="30">
        <f t="shared" si="26"/>
        <v>1425000</v>
      </c>
      <c r="G304" s="30">
        <f t="shared" si="26"/>
        <v>0</v>
      </c>
      <c r="H304" s="30">
        <f t="shared" si="26"/>
        <v>720465</v>
      </c>
      <c r="I304" s="30">
        <f t="shared" si="26"/>
        <v>718465</v>
      </c>
      <c r="J304" s="46">
        <f t="shared" si="26"/>
        <v>32331300</v>
      </c>
      <c r="K304" s="275">
        <f>J304/J$141*100</f>
        <v>0.76570835002998283</v>
      </c>
    </row>
    <row r="305" spans="1:11" s="5" customFormat="1" ht="15.75" customHeight="1" thickTop="1" x14ac:dyDescent="0.2">
      <c r="A305" s="99"/>
      <c r="B305" s="100"/>
      <c r="C305" s="101"/>
      <c r="D305" s="21" t="s">
        <v>462</v>
      </c>
      <c r="E305" s="31"/>
      <c r="F305" s="31"/>
      <c r="G305" s="31"/>
      <c r="H305" s="31"/>
      <c r="I305" s="31"/>
      <c r="J305" s="31"/>
      <c r="K305" s="299"/>
    </row>
    <row r="306" spans="1:11" s="5" customFormat="1" ht="15" customHeight="1" x14ac:dyDescent="0.2">
      <c r="A306" s="99">
        <v>750</v>
      </c>
      <c r="B306" s="100"/>
      <c r="C306" s="101" t="s">
        <v>678</v>
      </c>
      <c r="D306" s="21" t="s">
        <v>679</v>
      </c>
      <c r="E306" s="31">
        <f t="shared" ref="E306:J306" si="27">SUM(E307:E313)</f>
        <v>5442900</v>
      </c>
      <c r="F306" s="31">
        <f t="shared" si="27"/>
        <v>1210000</v>
      </c>
      <c r="G306" s="31">
        <f t="shared" si="27"/>
        <v>0</v>
      </c>
      <c r="H306" s="31">
        <f t="shared" si="27"/>
        <v>720465</v>
      </c>
      <c r="I306" s="31">
        <f t="shared" si="27"/>
        <v>718465</v>
      </c>
      <c r="J306" s="31">
        <f t="shared" si="27"/>
        <v>6654900</v>
      </c>
      <c r="K306" s="247">
        <f t="shared" ref="K306:K311" si="28">J306/J$141*100</f>
        <v>0.15760926713786744</v>
      </c>
    </row>
    <row r="307" spans="1:11" s="5" customFormat="1" ht="15" customHeight="1" x14ac:dyDescent="0.2">
      <c r="A307" s="99">
        <v>7500</v>
      </c>
      <c r="B307" s="100"/>
      <c r="C307" s="101" t="s">
        <v>680</v>
      </c>
      <c r="D307" s="21" t="s">
        <v>681</v>
      </c>
      <c r="E307" s="31">
        <v>101100</v>
      </c>
      <c r="F307" s="31">
        <v>730000</v>
      </c>
      <c r="G307" s="31">
        <v>0</v>
      </c>
      <c r="H307" s="31">
        <v>0</v>
      </c>
      <c r="I307" s="31">
        <v>0</v>
      </c>
      <c r="J307" s="31">
        <f t="shared" ref="J307:J312" si="29">E307+F307+G307+H307-I307</f>
        <v>831100</v>
      </c>
      <c r="K307" s="247">
        <f t="shared" si="28"/>
        <v>1.9683099959170176E-2</v>
      </c>
    </row>
    <row r="308" spans="1:11" s="5" customFormat="1" ht="15" customHeight="1" x14ac:dyDescent="0.2">
      <c r="A308" s="99">
        <v>7501</v>
      </c>
      <c r="B308" s="100"/>
      <c r="C308" s="101" t="s">
        <v>682</v>
      </c>
      <c r="D308" s="21" t="s">
        <v>683</v>
      </c>
      <c r="E308" s="31">
        <v>0</v>
      </c>
      <c r="F308" s="31">
        <v>150000</v>
      </c>
      <c r="G308" s="31">
        <v>0</v>
      </c>
      <c r="H308" s="31">
        <v>0</v>
      </c>
      <c r="I308" s="31">
        <v>0</v>
      </c>
      <c r="J308" s="31">
        <f t="shared" si="29"/>
        <v>150000</v>
      </c>
      <c r="K308" s="247">
        <f t="shared" si="28"/>
        <v>3.5524786353934869E-3</v>
      </c>
    </row>
    <row r="309" spans="1:11" s="5" customFormat="1" ht="15" customHeight="1" x14ac:dyDescent="0.2">
      <c r="A309" s="99">
        <v>7502</v>
      </c>
      <c r="B309" s="100"/>
      <c r="C309" s="101" t="s">
        <v>684</v>
      </c>
      <c r="D309" s="21" t="s">
        <v>685</v>
      </c>
      <c r="E309" s="31">
        <v>5341800</v>
      </c>
      <c r="F309" s="31">
        <v>150000</v>
      </c>
      <c r="G309" s="31">
        <v>0</v>
      </c>
      <c r="H309" s="31">
        <v>0</v>
      </c>
      <c r="I309" s="31">
        <v>0</v>
      </c>
      <c r="J309" s="31">
        <f t="shared" si="29"/>
        <v>5491800</v>
      </c>
      <c r="K309" s="247">
        <f t="shared" si="28"/>
        <v>0.13006334779902634</v>
      </c>
    </row>
    <row r="310" spans="1:11" s="5" customFormat="1" ht="15" customHeight="1" x14ac:dyDescent="0.2">
      <c r="A310" s="99">
        <v>7503</v>
      </c>
      <c r="B310" s="100"/>
      <c r="C310" s="101" t="s">
        <v>686</v>
      </c>
      <c r="D310" s="21" t="s">
        <v>687</v>
      </c>
      <c r="E310" s="31">
        <v>0</v>
      </c>
      <c r="F310" s="31">
        <v>150000</v>
      </c>
      <c r="G310" s="31">
        <v>0</v>
      </c>
      <c r="H310" s="31">
        <v>0</v>
      </c>
      <c r="I310" s="31">
        <v>0</v>
      </c>
      <c r="J310" s="31">
        <f t="shared" si="29"/>
        <v>150000</v>
      </c>
      <c r="K310" s="247">
        <f t="shared" si="28"/>
        <v>3.5524786353934869E-3</v>
      </c>
    </row>
    <row r="311" spans="1:11" s="5" customFormat="1" ht="15" customHeight="1" x14ac:dyDescent="0.2">
      <c r="A311" s="210">
        <v>7504</v>
      </c>
      <c r="B311" s="319"/>
      <c r="C311" s="357" t="s">
        <v>688</v>
      </c>
      <c r="D311" s="23" t="s">
        <v>689</v>
      </c>
      <c r="E311" s="33">
        <v>0</v>
      </c>
      <c r="F311" s="33">
        <v>30000</v>
      </c>
      <c r="G311" s="33"/>
      <c r="H311" s="33">
        <v>2000</v>
      </c>
      <c r="I311" s="33"/>
      <c r="J311" s="33">
        <f t="shared" si="29"/>
        <v>32000</v>
      </c>
      <c r="K311" s="261">
        <f t="shared" si="28"/>
        <v>7.5786210888394384E-4</v>
      </c>
    </row>
    <row r="312" spans="1:11" s="5" customFormat="1" ht="15" customHeight="1" x14ac:dyDescent="0.2">
      <c r="A312" s="210">
        <v>7506</v>
      </c>
      <c r="B312" s="319"/>
      <c r="C312" s="357" t="s">
        <v>690</v>
      </c>
      <c r="D312" s="23" t="s">
        <v>691</v>
      </c>
      <c r="E312" s="33">
        <v>0</v>
      </c>
      <c r="F312" s="33">
        <v>0</v>
      </c>
      <c r="G312" s="33"/>
      <c r="H312" s="33">
        <v>718465</v>
      </c>
      <c r="I312" s="33">
        <f>E312+F312+G312+H312</f>
        <v>718465</v>
      </c>
      <c r="J312" s="33">
        <f t="shared" si="29"/>
        <v>0</v>
      </c>
      <c r="K312" s="251"/>
    </row>
    <row r="313" spans="1:11" s="5" customFormat="1" ht="15" customHeight="1" x14ac:dyDescent="0.2">
      <c r="A313" s="99">
        <v>7505</v>
      </c>
      <c r="B313" s="100"/>
      <c r="C313" s="101" t="s">
        <v>692</v>
      </c>
      <c r="D313" s="21" t="s">
        <v>693</v>
      </c>
      <c r="E313" s="31">
        <v>0</v>
      </c>
      <c r="F313" s="31">
        <v>0</v>
      </c>
      <c r="G313" s="31"/>
      <c r="H313" s="31"/>
      <c r="I313" s="31"/>
      <c r="J313" s="31"/>
      <c r="K313" s="248"/>
    </row>
    <row r="314" spans="1:11" s="5" customFormat="1" ht="15" customHeight="1" x14ac:dyDescent="0.2">
      <c r="A314" s="99"/>
      <c r="B314" s="100"/>
      <c r="C314" s="101"/>
      <c r="D314" s="21"/>
      <c r="E314" s="31"/>
      <c r="F314" s="31"/>
      <c r="G314" s="31"/>
      <c r="H314" s="31"/>
      <c r="I314" s="31"/>
      <c r="J314" s="31"/>
      <c r="K314" s="248"/>
    </row>
    <row r="315" spans="1:11" s="5" customFormat="1" ht="15" customHeight="1" x14ac:dyDescent="0.2">
      <c r="A315" s="99">
        <v>751</v>
      </c>
      <c r="B315" s="100"/>
      <c r="C315" s="101" t="s">
        <v>676</v>
      </c>
      <c r="D315" s="21" t="s">
        <v>677</v>
      </c>
      <c r="E315" s="31">
        <f>SUM(E316:E318)</f>
        <v>21961400</v>
      </c>
      <c r="F315" s="31">
        <f>SUM(F316:F318)</f>
        <v>215000</v>
      </c>
      <c r="G315" s="31">
        <f>SUM(G316:G318)</f>
        <v>0</v>
      </c>
      <c r="H315" s="31">
        <f>SUM(H316:H318)</f>
        <v>0</v>
      </c>
      <c r="I315" s="31">
        <f>SUM(I316:I318)</f>
        <v>0</v>
      </c>
      <c r="J315" s="31">
        <f>E315+F315+G315+H315</f>
        <v>22176400</v>
      </c>
      <c r="K315" s="247">
        <f>J315/J$141*100</f>
        <v>0.52520791473293416</v>
      </c>
    </row>
    <row r="316" spans="1:11" s="5" customFormat="1" ht="15" customHeight="1" x14ac:dyDescent="0.2">
      <c r="A316" s="99">
        <v>7510</v>
      </c>
      <c r="B316" s="100"/>
      <c r="C316" s="101" t="s">
        <v>694</v>
      </c>
      <c r="D316" s="21" t="s">
        <v>695</v>
      </c>
      <c r="E316" s="31">
        <v>21961400</v>
      </c>
      <c r="F316" s="31">
        <v>50000</v>
      </c>
      <c r="G316" s="31">
        <v>0</v>
      </c>
      <c r="H316" s="31">
        <v>0</v>
      </c>
      <c r="I316" s="31">
        <v>0</v>
      </c>
      <c r="J316" s="31">
        <f>E316+F316+G316+H316-I316</f>
        <v>22011400</v>
      </c>
      <c r="K316" s="247">
        <f>J316/J$141*100</f>
        <v>0.52130018823400126</v>
      </c>
    </row>
    <row r="317" spans="1:11" s="5" customFormat="1" ht="15" customHeight="1" x14ac:dyDescent="0.2">
      <c r="A317" s="99">
        <v>7511</v>
      </c>
      <c r="B317" s="100"/>
      <c r="C317" s="101" t="s">
        <v>696</v>
      </c>
      <c r="D317" s="21" t="s">
        <v>697</v>
      </c>
      <c r="E317" s="31">
        <v>0</v>
      </c>
      <c r="F317" s="31">
        <v>85000</v>
      </c>
      <c r="G317" s="31">
        <v>0</v>
      </c>
      <c r="H317" s="31">
        <v>0</v>
      </c>
      <c r="I317" s="31">
        <v>0</v>
      </c>
      <c r="J317" s="31">
        <f>E317+F317+G317+H317-I317</f>
        <v>85000</v>
      </c>
      <c r="K317" s="247">
        <f>J317/J$141*100</f>
        <v>2.0130712267229759E-3</v>
      </c>
    </row>
    <row r="318" spans="1:11" s="5" customFormat="1" ht="15" customHeight="1" x14ac:dyDescent="0.2">
      <c r="A318" s="99">
        <v>7512</v>
      </c>
      <c r="B318" s="100"/>
      <c r="C318" s="101" t="s">
        <v>698</v>
      </c>
      <c r="D318" s="21" t="s">
        <v>699</v>
      </c>
      <c r="E318" s="31">
        <v>0</v>
      </c>
      <c r="F318" s="31">
        <v>80000</v>
      </c>
      <c r="G318" s="31">
        <v>0</v>
      </c>
      <c r="H318" s="31">
        <v>0</v>
      </c>
      <c r="I318" s="31">
        <v>0</v>
      </c>
      <c r="J318" s="31">
        <f>E318+F318+G318+H318-I318</f>
        <v>80000</v>
      </c>
      <c r="K318" s="247">
        <f>J318/J$141*100</f>
        <v>1.8946552722098598E-3</v>
      </c>
    </row>
    <row r="319" spans="1:11" s="5" customFormat="1" ht="15" customHeight="1" x14ac:dyDescent="0.2">
      <c r="A319" s="99"/>
      <c r="B319" s="100"/>
      <c r="C319" s="101"/>
      <c r="D319" s="21"/>
      <c r="E319" s="31"/>
      <c r="F319" s="31"/>
      <c r="G319" s="31"/>
      <c r="H319" s="31"/>
      <c r="I319" s="31"/>
      <c r="J319" s="31"/>
      <c r="K319" s="247"/>
    </row>
    <row r="320" spans="1:11" s="5" customFormat="1" ht="15" customHeight="1" x14ac:dyDescent="0.2">
      <c r="A320" s="99">
        <v>752</v>
      </c>
      <c r="B320" s="100"/>
      <c r="C320" s="101" t="s">
        <v>700</v>
      </c>
      <c r="D320" s="21" t="s">
        <v>101</v>
      </c>
      <c r="E320" s="31">
        <f>E321</f>
        <v>3500000</v>
      </c>
      <c r="F320" s="31">
        <f>F321</f>
        <v>0</v>
      </c>
      <c r="G320" s="31">
        <f>G321</f>
        <v>0</v>
      </c>
      <c r="H320" s="31">
        <f>H321</f>
        <v>0</v>
      </c>
      <c r="I320" s="31">
        <f>I321</f>
        <v>0</v>
      </c>
      <c r="J320" s="31">
        <f>E320+F320+G320+H320</f>
        <v>3500000</v>
      </c>
      <c r="K320" s="247">
        <f>J320/J$141*100</f>
        <v>8.2891168159181364E-2</v>
      </c>
    </row>
    <row r="321" spans="1:11" s="5" customFormat="1" ht="15" customHeight="1" x14ac:dyDescent="0.2">
      <c r="A321" s="99">
        <v>7520</v>
      </c>
      <c r="B321" s="100"/>
      <c r="C321" s="101" t="s">
        <v>102</v>
      </c>
      <c r="D321" s="21" t="s">
        <v>103</v>
      </c>
      <c r="E321" s="31">
        <v>3500000</v>
      </c>
      <c r="F321" s="31">
        <v>0</v>
      </c>
      <c r="G321" s="31">
        <v>0</v>
      </c>
      <c r="H321" s="31">
        <v>0</v>
      </c>
      <c r="I321" s="31">
        <v>0</v>
      </c>
      <c r="J321" s="31">
        <f>E321+F321+G321+H321-I321</f>
        <v>3500000</v>
      </c>
      <c r="K321" s="247">
        <f>J321/J$141*100</f>
        <v>8.2891168159181364E-2</v>
      </c>
    </row>
    <row r="322" spans="1:11" s="5" customFormat="1" ht="15.75" customHeight="1" thickBot="1" x14ac:dyDescent="0.25">
      <c r="A322" s="310"/>
      <c r="B322" s="320"/>
      <c r="C322" s="358"/>
      <c r="D322" s="24"/>
      <c r="E322" s="35"/>
      <c r="F322" s="35"/>
      <c r="G322" s="35"/>
      <c r="H322" s="35"/>
      <c r="I322" s="35"/>
      <c r="J322" s="35"/>
      <c r="K322" s="271"/>
    </row>
    <row r="323" spans="1:11" s="5" customFormat="1" ht="15.75" customHeight="1" thickTop="1" x14ac:dyDescent="0.2">
      <c r="A323" s="311"/>
      <c r="B323" s="321"/>
      <c r="C323" s="371"/>
      <c r="D323" s="25"/>
      <c r="E323" s="36"/>
      <c r="F323" s="36"/>
      <c r="G323" s="36"/>
      <c r="H323" s="36"/>
      <c r="I323" s="36"/>
      <c r="J323" s="36"/>
      <c r="K323" s="299"/>
    </row>
    <row r="324" spans="1:11" s="5" customFormat="1" ht="20.25" customHeight="1" thickBot="1" x14ac:dyDescent="0.3">
      <c r="A324" s="13"/>
      <c r="B324" s="18" t="s">
        <v>104</v>
      </c>
      <c r="C324" s="361" t="s">
        <v>105</v>
      </c>
      <c r="D324" s="20" t="s">
        <v>106</v>
      </c>
      <c r="E324" s="30"/>
      <c r="F324" s="30"/>
      <c r="G324" s="30"/>
      <c r="H324" s="30"/>
      <c r="I324" s="30"/>
      <c r="J324" s="30"/>
      <c r="K324" s="385"/>
    </row>
    <row r="325" spans="1:11" s="5" customFormat="1" ht="16.5" customHeight="1" thickTop="1" thickBot="1" x14ac:dyDescent="0.3">
      <c r="A325" s="13"/>
      <c r="B325" s="18"/>
      <c r="C325" s="361" t="s">
        <v>107</v>
      </c>
      <c r="D325" s="20" t="s">
        <v>108</v>
      </c>
      <c r="E325" s="30">
        <f t="shared" ref="E325:J325" si="30">E327+E336+E343</f>
        <v>32083015</v>
      </c>
      <c r="F325" s="30">
        <f t="shared" si="30"/>
        <v>931550</v>
      </c>
      <c r="G325" s="30">
        <f t="shared" si="30"/>
        <v>0</v>
      </c>
      <c r="H325" s="30">
        <f t="shared" si="30"/>
        <v>0</v>
      </c>
      <c r="I325" s="30">
        <f t="shared" si="30"/>
        <v>0</v>
      </c>
      <c r="J325" s="46">
        <f t="shared" si="30"/>
        <v>33014565</v>
      </c>
      <c r="K325" s="275">
        <f>J325/J$141*100</f>
        <v>0.78189024546206376</v>
      </c>
    </row>
    <row r="326" spans="1:11" s="5" customFormat="1" ht="15.75" customHeight="1" thickTop="1" x14ac:dyDescent="0.2">
      <c r="A326" s="99"/>
      <c r="B326" s="100"/>
      <c r="C326" s="101"/>
      <c r="D326" s="21" t="s">
        <v>462</v>
      </c>
      <c r="E326" s="31"/>
      <c r="F326" s="31"/>
      <c r="G326" s="31"/>
      <c r="H326" s="31"/>
      <c r="I326" s="31"/>
      <c r="J326" s="31"/>
      <c r="K326" s="299"/>
    </row>
    <row r="327" spans="1:11" s="5" customFormat="1" ht="15" customHeight="1" x14ac:dyDescent="0.2">
      <c r="A327" s="99">
        <v>440</v>
      </c>
      <c r="B327" s="100"/>
      <c r="C327" s="101" t="s">
        <v>109</v>
      </c>
      <c r="D327" s="21" t="s">
        <v>110</v>
      </c>
      <c r="E327" s="31">
        <f>SUM(E328:E334)</f>
        <v>5443415</v>
      </c>
      <c r="F327" s="31">
        <f>SUM(F328:F334)</f>
        <v>415000</v>
      </c>
      <c r="G327" s="31">
        <f>SUM(G328:G334)</f>
        <v>0</v>
      </c>
      <c r="H327" s="31">
        <f>SUM(H328:H334)</f>
        <v>0</v>
      </c>
      <c r="I327" s="31">
        <f>SUM(I328:I334)</f>
        <v>0</v>
      </c>
      <c r="J327" s="31">
        <f t="shared" ref="J327:J334" si="31">E327+F327+G327+H327-I327</f>
        <v>5858415</v>
      </c>
      <c r="K327" s="247">
        <f t="shared" ref="K327:K332" si="32">J327/J$141*100</f>
        <v>0.13874596083179155</v>
      </c>
    </row>
    <row r="328" spans="1:11" s="5" customFormat="1" ht="15" customHeight="1" x14ac:dyDescent="0.2">
      <c r="A328" s="99">
        <v>4400</v>
      </c>
      <c r="B328" s="100"/>
      <c r="C328" s="101" t="s">
        <v>111</v>
      </c>
      <c r="D328" s="21" t="s">
        <v>112</v>
      </c>
      <c r="E328" s="31">
        <v>24000</v>
      </c>
      <c r="F328" s="31">
        <v>150000</v>
      </c>
      <c r="G328" s="31">
        <v>0</v>
      </c>
      <c r="H328" s="31">
        <v>0</v>
      </c>
      <c r="I328" s="31">
        <v>0</v>
      </c>
      <c r="J328" s="31">
        <f t="shared" si="31"/>
        <v>174000</v>
      </c>
      <c r="K328" s="247">
        <f t="shared" si="32"/>
        <v>4.1208752170564453E-3</v>
      </c>
    </row>
    <row r="329" spans="1:11" s="5" customFormat="1" ht="15" customHeight="1" x14ac:dyDescent="0.2">
      <c r="A329" s="99">
        <v>4401</v>
      </c>
      <c r="B329" s="100"/>
      <c r="C329" s="101" t="s">
        <v>113</v>
      </c>
      <c r="D329" s="21" t="s">
        <v>114</v>
      </c>
      <c r="E329" s="31">
        <v>0</v>
      </c>
      <c r="F329" s="31">
        <v>15000</v>
      </c>
      <c r="G329" s="31">
        <v>0</v>
      </c>
      <c r="H329" s="31">
        <v>0</v>
      </c>
      <c r="I329" s="31">
        <v>0</v>
      </c>
      <c r="J329" s="31">
        <f t="shared" si="31"/>
        <v>15000</v>
      </c>
      <c r="K329" s="247">
        <f t="shared" si="32"/>
        <v>3.5524786353934864E-4</v>
      </c>
    </row>
    <row r="330" spans="1:11" s="5" customFormat="1" ht="15" customHeight="1" x14ac:dyDescent="0.2">
      <c r="A330" s="99">
        <v>4402</v>
      </c>
      <c r="B330" s="100"/>
      <c r="C330" s="101" t="s">
        <v>115</v>
      </c>
      <c r="D330" s="21" t="s">
        <v>116</v>
      </c>
      <c r="E330" s="31">
        <v>0</v>
      </c>
      <c r="F330" s="31">
        <v>100000</v>
      </c>
      <c r="G330" s="31">
        <v>0</v>
      </c>
      <c r="H330" s="31">
        <v>0</v>
      </c>
      <c r="I330" s="31">
        <v>0</v>
      </c>
      <c r="J330" s="31">
        <f t="shared" si="31"/>
        <v>100000</v>
      </c>
      <c r="K330" s="247">
        <f t="shared" si="32"/>
        <v>2.3683190902623243E-3</v>
      </c>
    </row>
    <row r="331" spans="1:11" s="5" customFormat="1" ht="15" customHeight="1" x14ac:dyDescent="0.2">
      <c r="A331" s="99">
        <v>4403</v>
      </c>
      <c r="B331" s="100"/>
      <c r="C331" s="101" t="s">
        <v>117</v>
      </c>
      <c r="D331" s="21" t="s">
        <v>118</v>
      </c>
      <c r="E331" s="31">
        <v>0</v>
      </c>
      <c r="F331" s="31">
        <v>80000</v>
      </c>
      <c r="G331" s="31">
        <v>0</v>
      </c>
      <c r="H331" s="31">
        <v>0</v>
      </c>
      <c r="I331" s="31">
        <v>0</v>
      </c>
      <c r="J331" s="31">
        <f t="shared" si="31"/>
        <v>80000</v>
      </c>
      <c r="K331" s="247">
        <f t="shared" si="32"/>
        <v>1.8946552722098598E-3</v>
      </c>
    </row>
    <row r="332" spans="1:11" s="5" customFormat="1" ht="15" customHeight="1" x14ac:dyDescent="0.2">
      <c r="A332" s="99">
        <v>4404</v>
      </c>
      <c r="B332" s="100"/>
      <c r="C332" s="101" t="s">
        <v>119</v>
      </c>
      <c r="D332" s="21" t="s">
        <v>120</v>
      </c>
      <c r="E332" s="31">
        <v>5419415</v>
      </c>
      <c r="F332" s="31">
        <v>70000</v>
      </c>
      <c r="G332" s="31">
        <v>0</v>
      </c>
      <c r="H332" s="31">
        <v>0</v>
      </c>
      <c r="I332" s="31">
        <v>0</v>
      </c>
      <c r="J332" s="31">
        <f t="shared" si="31"/>
        <v>5489415</v>
      </c>
      <c r="K332" s="247">
        <f t="shared" si="32"/>
        <v>0.13000686338872358</v>
      </c>
    </row>
    <row r="333" spans="1:11" s="5" customFormat="1" ht="15" customHeight="1" x14ac:dyDescent="0.2">
      <c r="A333" s="210">
        <v>4405</v>
      </c>
      <c r="B333" s="319"/>
      <c r="C333" s="357" t="s">
        <v>121</v>
      </c>
      <c r="D333" s="23" t="s">
        <v>122</v>
      </c>
      <c r="E333" s="33">
        <v>0</v>
      </c>
      <c r="F333" s="33">
        <v>0</v>
      </c>
      <c r="G333" s="33">
        <v>0</v>
      </c>
      <c r="H333" s="33">
        <v>0</v>
      </c>
      <c r="I333" s="33">
        <f>E333+F333+G333+H333</f>
        <v>0</v>
      </c>
      <c r="J333" s="33">
        <f t="shared" si="31"/>
        <v>0</v>
      </c>
      <c r="K333" s="251"/>
    </row>
    <row r="334" spans="1:11" s="5" customFormat="1" ht="15" customHeight="1" x14ac:dyDescent="0.2">
      <c r="A334" s="99">
        <v>4406</v>
      </c>
      <c r="B334" s="100"/>
      <c r="C334" s="101" t="s">
        <v>123</v>
      </c>
      <c r="D334" s="21" t="s">
        <v>124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f t="shared" si="31"/>
        <v>0</v>
      </c>
      <c r="K334" s="248"/>
    </row>
    <row r="335" spans="1:11" s="5" customFormat="1" ht="15" customHeight="1" x14ac:dyDescent="0.2">
      <c r="A335" s="99"/>
      <c r="B335" s="100"/>
      <c r="C335" s="101"/>
      <c r="D335" s="21"/>
      <c r="E335" s="31"/>
      <c r="F335" s="31"/>
      <c r="G335" s="31"/>
      <c r="H335" s="31"/>
      <c r="I335" s="31"/>
      <c r="J335" s="31"/>
      <c r="K335" s="248"/>
    </row>
    <row r="336" spans="1:11" s="5" customFormat="1" ht="15" customHeight="1" x14ac:dyDescent="0.2">
      <c r="A336" s="99">
        <v>441</v>
      </c>
      <c r="B336" s="100"/>
      <c r="C336" s="101" t="s">
        <v>125</v>
      </c>
      <c r="D336" s="21" t="s">
        <v>126</v>
      </c>
      <c r="E336" s="31">
        <f>SUM(E337:E341)</f>
        <v>23139600</v>
      </c>
      <c r="F336" s="31">
        <f>SUM(F337:F341)</f>
        <v>516550</v>
      </c>
      <c r="G336" s="31">
        <f>SUM(G337:G341)</f>
        <v>0</v>
      </c>
      <c r="H336" s="31">
        <f>SUM(H337:H341)</f>
        <v>0</v>
      </c>
      <c r="I336" s="31">
        <f>SUM(I337:I341)</f>
        <v>0</v>
      </c>
      <c r="J336" s="31">
        <f>E336+F336+G336+H336</f>
        <v>23656150</v>
      </c>
      <c r="K336" s="247">
        <f t="shared" ref="K336:K341" si="33">J336/J$141*100</f>
        <v>0.56025311647109088</v>
      </c>
    </row>
    <row r="337" spans="1:11" s="5" customFormat="1" ht="15" customHeight="1" x14ac:dyDescent="0.2">
      <c r="A337" s="99">
        <v>4410</v>
      </c>
      <c r="B337" s="100"/>
      <c r="C337" s="101" t="s">
        <v>701</v>
      </c>
      <c r="D337" s="21" t="s">
        <v>702</v>
      </c>
      <c r="E337" s="31">
        <v>17409000</v>
      </c>
      <c r="F337" s="31">
        <v>1500</v>
      </c>
      <c r="G337" s="31">
        <v>0</v>
      </c>
      <c r="H337" s="31">
        <v>0</v>
      </c>
      <c r="I337" s="31">
        <v>0</v>
      </c>
      <c r="J337" s="31">
        <f>E337+F337+G337+H337-I337</f>
        <v>17410500</v>
      </c>
      <c r="K337" s="247">
        <f t="shared" si="33"/>
        <v>0.41233619521012199</v>
      </c>
    </row>
    <row r="338" spans="1:11" s="5" customFormat="1" ht="15" customHeight="1" x14ac:dyDescent="0.2">
      <c r="A338" s="99">
        <v>4411</v>
      </c>
      <c r="B338" s="100"/>
      <c r="C338" s="101" t="s">
        <v>703</v>
      </c>
      <c r="D338" s="21" t="s">
        <v>704</v>
      </c>
      <c r="E338" s="31">
        <v>5486100</v>
      </c>
      <c r="F338" s="31">
        <v>50</v>
      </c>
      <c r="G338" s="31">
        <v>0</v>
      </c>
      <c r="H338" s="31">
        <v>0</v>
      </c>
      <c r="I338" s="31">
        <v>0</v>
      </c>
      <c r="J338" s="31">
        <f>E338+F338+G338+H338-I338</f>
        <v>5486150</v>
      </c>
      <c r="K338" s="247">
        <f t="shared" si="33"/>
        <v>0.12992953777042651</v>
      </c>
    </row>
    <row r="339" spans="1:11" s="5" customFormat="1" ht="15" customHeight="1" x14ac:dyDescent="0.2">
      <c r="A339" s="99">
        <v>4412</v>
      </c>
      <c r="B339" s="100"/>
      <c r="C339" s="101" t="s">
        <v>705</v>
      </c>
      <c r="D339" s="21" t="s">
        <v>706</v>
      </c>
      <c r="E339" s="31">
        <v>0</v>
      </c>
      <c r="F339" s="31">
        <v>500000</v>
      </c>
      <c r="G339" s="31">
        <v>0</v>
      </c>
      <c r="H339" s="31">
        <v>0</v>
      </c>
      <c r="I339" s="31">
        <v>0</v>
      </c>
      <c r="J339" s="31">
        <f>E339+F339+G339+H339-I339</f>
        <v>500000</v>
      </c>
      <c r="K339" s="247">
        <f t="shared" si="33"/>
        <v>1.1841595451311622E-2</v>
      </c>
    </row>
    <row r="340" spans="1:11" s="5" customFormat="1" ht="15" customHeight="1" x14ac:dyDescent="0.2">
      <c r="A340" s="99">
        <v>4413</v>
      </c>
      <c r="B340" s="100"/>
      <c r="C340" s="101" t="s">
        <v>707</v>
      </c>
      <c r="D340" s="21" t="s">
        <v>708</v>
      </c>
      <c r="E340" s="31">
        <v>0</v>
      </c>
      <c r="F340" s="31">
        <v>15000</v>
      </c>
      <c r="G340" s="31">
        <v>0</v>
      </c>
      <c r="H340" s="31">
        <v>0</v>
      </c>
      <c r="I340" s="31">
        <v>0</v>
      </c>
      <c r="J340" s="31">
        <f>E340+F340+G340+H340-I340</f>
        <v>15000</v>
      </c>
      <c r="K340" s="247">
        <f t="shared" si="33"/>
        <v>3.5524786353934864E-4</v>
      </c>
    </row>
    <row r="341" spans="1:11" s="5" customFormat="1" ht="15" customHeight="1" x14ac:dyDescent="0.2">
      <c r="A341" s="99">
        <v>4414</v>
      </c>
      <c r="B341" s="100"/>
      <c r="C341" s="101" t="s">
        <v>709</v>
      </c>
      <c r="D341" s="21" t="s">
        <v>710</v>
      </c>
      <c r="E341" s="31">
        <v>244500</v>
      </c>
      <c r="F341" s="31">
        <v>0</v>
      </c>
      <c r="G341" s="31">
        <v>0</v>
      </c>
      <c r="H341" s="31">
        <v>0</v>
      </c>
      <c r="I341" s="31">
        <v>0</v>
      </c>
      <c r="J341" s="31">
        <f>E341+F341+G341+H341-I341</f>
        <v>244500</v>
      </c>
      <c r="K341" s="247">
        <f t="shared" si="33"/>
        <v>5.7905401756913827E-3</v>
      </c>
    </row>
    <row r="342" spans="1:11" s="5" customFormat="1" ht="15" customHeight="1" x14ac:dyDescent="0.2">
      <c r="A342" s="99"/>
      <c r="B342" s="100"/>
      <c r="C342" s="101"/>
      <c r="D342" s="21"/>
      <c r="E342" s="31"/>
      <c r="F342" s="31"/>
      <c r="G342" s="31"/>
      <c r="H342" s="31"/>
      <c r="I342" s="31"/>
      <c r="J342" s="31"/>
      <c r="K342" s="247"/>
    </row>
    <row r="343" spans="1:11" s="5" customFormat="1" ht="15" customHeight="1" x14ac:dyDescent="0.2">
      <c r="A343" s="99">
        <v>442</v>
      </c>
      <c r="B343" s="100"/>
      <c r="C343" s="101" t="s">
        <v>711</v>
      </c>
      <c r="D343" s="21" t="s">
        <v>712</v>
      </c>
      <c r="E343" s="31">
        <f>E344+E345</f>
        <v>3500000</v>
      </c>
      <c r="F343" s="31">
        <f>F344+F345</f>
        <v>0</v>
      </c>
      <c r="G343" s="31">
        <f>G344+G345</f>
        <v>0</v>
      </c>
      <c r="H343" s="31">
        <f>H344+H345</f>
        <v>0</v>
      </c>
      <c r="I343" s="31">
        <f>I344+I345</f>
        <v>0</v>
      </c>
      <c r="J343" s="31">
        <f>E343+F343+G343+H343</f>
        <v>3500000</v>
      </c>
      <c r="K343" s="247">
        <f>J343/J$141*100</f>
        <v>8.2891168159181364E-2</v>
      </c>
    </row>
    <row r="344" spans="1:11" s="5" customFormat="1" ht="15" customHeight="1" x14ac:dyDescent="0.2">
      <c r="A344" s="99">
        <v>4420</v>
      </c>
      <c r="B344" s="100"/>
      <c r="C344" s="101" t="s">
        <v>713</v>
      </c>
      <c r="D344" s="21" t="s">
        <v>714</v>
      </c>
      <c r="E344" s="31">
        <v>665000</v>
      </c>
      <c r="F344" s="31">
        <v>0</v>
      </c>
      <c r="G344" s="31">
        <v>0</v>
      </c>
      <c r="H344" s="31">
        <v>0</v>
      </c>
      <c r="I344" s="31">
        <v>0</v>
      </c>
      <c r="J344" s="31">
        <f>E344+F344+G344+H344</f>
        <v>665000</v>
      </c>
      <c r="K344" s="247">
        <f>J344/J$141*100</f>
        <v>1.5749321950244456E-2</v>
      </c>
    </row>
    <row r="345" spans="1:11" s="5" customFormat="1" ht="15" customHeight="1" x14ac:dyDescent="0.2">
      <c r="A345" s="99">
        <v>4421</v>
      </c>
      <c r="B345" s="100"/>
      <c r="C345" s="101" t="s">
        <v>715</v>
      </c>
      <c r="D345" s="21" t="s">
        <v>716</v>
      </c>
      <c r="E345" s="31">
        <v>2835000</v>
      </c>
      <c r="F345" s="31">
        <v>0</v>
      </c>
      <c r="G345" s="31">
        <v>0</v>
      </c>
      <c r="H345" s="31">
        <v>0</v>
      </c>
      <c r="I345" s="31">
        <v>0</v>
      </c>
      <c r="J345" s="31">
        <f>E345+F345+G345+H345</f>
        <v>2835000</v>
      </c>
      <c r="K345" s="247">
        <f>J345/J$141*100</f>
        <v>6.7141846208936901E-2</v>
      </c>
    </row>
    <row r="346" spans="1:11" s="5" customFormat="1" ht="15.75" customHeight="1" thickBot="1" x14ac:dyDescent="0.25">
      <c r="A346" s="310"/>
      <c r="B346" s="320"/>
      <c r="C346" s="358"/>
      <c r="D346" s="24"/>
      <c r="E346" s="35"/>
      <c r="F346" s="35"/>
      <c r="G346" s="35"/>
      <c r="H346" s="35"/>
      <c r="I346" s="35"/>
      <c r="J346" s="35"/>
      <c r="K346" s="271"/>
    </row>
    <row r="347" spans="1:11" s="5" customFormat="1" ht="15.75" customHeight="1" thickTop="1" x14ac:dyDescent="0.2">
      <c r="A347" s="311"/>
      <c r="B347" s="321"/>
      <c r="C347" s="371"/>
      <c r="D347" s="25"/>
      <c r="E347" s="36"/>
      <c r="F347" s="36"/>
      <c r="G347" s="36"/>
      <c r="H347" s="36"/>
      <c r="I347" s="36"/>
      <c r="J347" s="36"/>
      <c r="K347" s="299"/>
    </row>
    <row r="348" spans="1:11" s="5" customFormat="1" ht="15" customHeight="1" x14ac:dyDescent="0.25">
      <c r="A348" s="13"/>
      <c r="B348" s="18" t="s">
        <v>717</v>
      </c>
      <c r="C348" s="361" t="s">
        <v>718</v>
      </c>
      <c r="D348" s="20" t="s">
        <v>810</v>
      </c>
      <c r="E348" s="30">
        <f t="shared" ref="E348:J348" si="34">E304-E325</f>
        <v>-1178715</v>
      </c>
      <c r="F348" s="30">
        <f t="shared" si="34"/>
        <v>493450</v>
      </c>
      <c r="G348" s="30">
        <f t="shared" si="34"/>
        <v>0</v>
      </c>
      <c r="H348" s="30">
        <f t="shared" si="34"/>
        <v>720465</v>
      </c>
      <c r="I348" s="30">
        <f t="shared" si="34"/>
        <v>718465</v>
      </c>
      <c r="J348" s="30">
        <f t="shared" si="34"/>
        <v>-683265</v>
      </c>
      <c r="K348" s="269">
        <f>J348/J$141*100</f>
        <v>-1.6181895432080873E-2</v>
      </c>
    </row>
    <row r="349" spans="1:11" s="5" customFormat="1" ht="15" customHeight="1" x14ac:dyDescent="0.25">
      <c r="A349" s="13"/>
      <c r="B349" s="18"/>
      <c r="C349" s="361" t="s">
        <v>719</v>
      </c>
      <c r="D349" s="20" t="s">
        <v>720</v>
      </c>
      <c r="E349" s="30"/>
      <c r="F349" s="30"/>
      <c r="G349" s="30"/>
      <c r="H349" s="30"/>
      <c r="I349" s="30"/>
      <c r="J349" s="15"/>
      <c r="K349" s="270"/>
    </row>
    <row r="350" spans="1:11" s="5" customFormat="1" ht="15" customHeight="1" x14ac:dyDescent="0.25">
      <c r="A350" s="88"/>
      <c r="B350" s="89"/>
      <c r="C350" s="90" t="s">
        <v>721</v>
      </c>
      <c r="D350" s="22"/>
      <c r="E350" s="32"/>
      <c r="F350" s="32"/>
      <c r="G350" s="32"/>
      <c r="H350" s="32"/>
      <c r="I350" s="32"/>
      <c r="J350" s="29"/>
      <c r="K350" s="252"/>
    </row>
    <row r="351" spans="1:11" s="5" customFormat="1" ht="15.75" customHeight="1" thickBot="1" x14ac:dyDescent="0.25">
      <c r="A351" s="310"/>
      <c r="B351" s="320"/>
      <c r="C351" s="358"/>
      <c r="D351" s="24"/>
      <c r="E351" s="35"/>
      <c r="F351" s="35"/>
      <c r="G351" s="35"/>
      <c r="H351" s="35"/>
      <c r="I351" s="35"/>
      <c r="J351" s="35"/>
      <c r="K351" s="271"/>
    </row>
    <row r="352" spans="1:11" s="5" customFormat="1" ht="15.75" customHeight="1" thickTop="1" x14ac:dyDescent="0.2">
      <c r="A352" s="311"/>
      <c r="B352" s="321"/>
      <c r="C352" s="371"/>
      <c r="D352" s="25"/>
      <c r="E352" s="36"/>
      <c r="F352" s="36"/>
      <c r="G352" s="36"/>
      <c r="H352" s="36"/>
      <c r="I352" s="36"/>
      <c r="J352" s="36"/>
      <c r="K352" s="299"/>
    </row>
    <row r="353" spans="1:11" s="5" customFormat="1" ht="15" customHeight="1" x14ac:dyDescent="0.25">
      <c r="A353" s="13"/>
      <c r="B353" s="18" t="s">
        <v>722</v>
      </c>
      <c r="C353" s="361" t="s">
        <v>723</v>
      </c>
      <c r="D353" s="20" t="s">
        <v>724</v>
      </c>
      <c r="E353" s="30">
        <f t="shared" ref="E353:J353" si="35">E274+E348</f>
        <v>-39571850</v>
      </c>
      <c r="F353" s="30">
        <f t="shared" si="35"/>
        <v>-2780175</v>
      </c>
      <c r="G353" s="30">
        <f t="shared" si="35"/>
        <v>-1449063</v>
      </c>
      <c r="H353" s="30">
        <f t="shared" si="35"/>
        <v>-3391888</v>
      </c>
      <c r="I353" s="30">
        <f t="shared" si="35"/>
        <v>478497</v>
      </c>
      <c r="J353" s="30">
        <f t="shared" si="35"/>
        <v>-47671473</v>
      </c>
      <c r="K353" s="269">
        <f>J353/J$141*100</f>
        <v>-1.1290125956682497</v>
      </c>
    </row>
    <row r="354" spans="1:11" s="5" customFormat="1" ht="15" customHeight="1" x14ac:dyDescent="0.25">
      <c r="A354" s="13"/>
      <c r="B354" s="18"/>
      <c r="C354" s="361" t="s">
        <v>725</v>
      </c>
      <c r="D354" s="20" t="s">
        <v>726</v>
      </c>
      <c r="E354" s="30"/>
      <c r="F354" s="30"/>
      <c r="G354" s="30"/>
      <c r="H354" s="30"/>
      <c r="I354" s="30"/>
      <c r="J354" s="15">
        <f>E353+F353+G353+H353-I353</f>
        <v>-47671473</v>
      </c>
      <c r="K354" s="270"/>
    </row>
    <row r="355" spans="1:11" s="5" customFormat="1" ht="15" customHeight="1" x14ac:dyDescent="0.25">
      <c r="A355" s="88"/>
      <c r="B355" s="89"/>
      <c r="C355" s="90" t="s">
        <v>727</v>
      </c>
      <c r="D355" s="22" t="s">
        <v>728</v>
      </c>
      <c r="E355" s="32"/>
      <c r="F355" s="32"/>
      <c r="G355" s="32"/>
      <c r="H355" s="32"/>
      <c r="I355" s="32"/>
      <c r="J355" s="32"/>
      <c r="K355" s="252"/>
    </row>
    <row r="356" spans="1:11" s="5" customFormat="1" ht="15.75" customHeight="1" thickBot="1" x14ac:dyDescent="0.25">
      <c r="A356" s="312"/>
      <c r="B356" s="322"/>
      <c r="C356" s="372"/>
      <c r="D356" s="26" t="s">
        <v>729</v>
      </c>
      <c r="E356" s="38"/>
      <c r="F356" s="38"/>
      <c r="G356" s="38"/>
      <c r="H356" s="38"/>
      <c r="I356" s="38"/>
      <c r="J356" s="38"/>
      <c r="K356" s="303"/>
    </row>
    <row r="357" spans="1:11" s="5" customFormat="1" ht="15.75" customHeight="1" thickTop="1" x14ac:dyDescent="0.2">
      <c r="A357" s="313"/>
      <c r="B357" s="313"/>
      <c r="C357" s="59"/>
      <c r="D357" s="16"/>
      <c r="E357" s="40"/>
      <c r="F357" s="40"/>
      <c r="G357" s="40"/>
      <c r="H357" s="40"/>
      <c r="I357" s="40"/>
      <c r="J357" s="40"/>
      <c r="K357" s="40"/>
    </row>
    <row r="358" spans="1:11" s="5" customFormat="1" ht="15" customHeight="1" x14ac:dyDescent="0.2">
      <c r="A358" s="52"/>
      <c r="B358" s="52"/>
      <c r="C358" s="12"/>
      <c r="D358" s="4"/>
      <c r="E358" s="4"/>
      <c r="F358" s="4"/>
      <c r="G358" s="4"/>
      <c r="H358" s="4"/>
      <c r="I358" s="4"/>
      <c r="J358" s="4"/>
      <c r="K358" s="4"/>
    </row>
    <row r="359" spans="1:11" s="5" customFormat="1" ht="15" customHeight="1" x14ac:dyDescent="0.2">
      <c r="A359" s="52"/>
      <c r="B359" s="52"/>
      <c r="C359" s="12"/>
      <c r="D359" s="4"/>
      <c r="E359" s="4"/>
      <c r="F359" s="4"/>
      <c r="G359" s="4"/>
      <c r="H359" s="4"/>
      <c r="I359" s="4"/>
      <c r="J359" s="4"/>
      <c r="K359" s="4"/>
    </row>
    <row r="360" spans="1:11" s="5" customFormat="1" ht="23.25" customHeight="1" x14ac:dyDescent="0.35">
      <c r="A360" s="262"/>
      <c r="B360" s="316" t="s">
        <v>791</v>
      </c>
      <c r="C360" s="262" t="s">
        <v>792</v>
      </c>
      <c r="D360" s="262" t="s">
        <v>844</v>
      </c>
      <c r="E360" s="262"/>
      <c r="F360" s="262"/>
      <c r="G360" s="262"/>
      <c r="H360" s="262"/>
      <c r="I360" s="17"/>
      <c r="J360" s="17"/>
      <c r="K360" s="17"/>
    </row>
    <row r="361" spans="1:11" s="5" customFormat="1" ht="15" customHeight="1" x14ac:dyDescent="0.2">
      <c r="A361" s="52"/>
      <c r="B361" s="52"/>
      <c r="C361" s="12"/>
      <c r="D361" s="4"/>
      <c r="E361" s="4"/>
      <c r="F361" s="4"/>
      <c r="G361" s="4"/>
      <c r="H361" s="4"/>
      <c r="I361" s="4"/>
      <c r="J361" s="4"/>
      <c r="K361" s="4"/>
    </row>
    <row r="362" spans="1:11" s="5" customFormat="1" ht="16.5" customHeight="1" thickBot="1" x14ac:dyDescent="0.3">
      <c r="A362" s="305"/>
      <c r="B362" s="305"/>
      <c r="C362" s="346"/>
      <c r="D362" s="346"/>
      <c r="E362" s="241"/>
      <c r="F362" s="241"/>
      <c r="G362" s="241"/>
      <c r="H362" s="241"/>
      <c r="I362" s="55" t="s">
        <v>208</v>
      </c>
      <c r="J362" s="55"/>
      <c r="K362" s="241"/>
    </row>
    <row r="363" spans="1:11" s="5" customFormat="1" ht="16.5" customHeight="1" thickTop="1" x14ac:dyDescent="0.25">
      <c r="A363" s="306"/>
      <c r="B363" s="317"/>
      <c r="C363" s="347"/>
      <c r="D363" s="373"/>
      <c r="E363" s="334"/>
      <c r="F363" s="335"/>
      <c r="G363" s="335"/>
      <c r="H363" s="335"/>
      <c r="I363" s="335"/>
      <c r="J363" s="339"/>
      <c r="K363" s="276"/>
    </row>
    <row r="364" spans="1:11" s="5" customFormat="1" ht="20.25" customHeight="1" x14ac:dyDescent="0.3">
      <c r="A364" s="307"/>
      <c r="B364" s="242"/>
      <c r="C364" s="345"/>
      <c r="D364" s="374"/>
      <c r="E364" s="336" t="s">
        <v>827</v>
      </c>
      <c r="F364" s="337"/>
      <c r="G364" s="337"/>
      <c r="H364" s="337"/>
      <c r="I364" s="337"/>
      <c r="J364" s="340"/>
      <c r="K364" s="277" t="s">
        <v>209</v>
      </c>
    </row>
    <row r="365" spans="1:11" s="5" customFormat="1" ht="15.75" customHeight="1" x14ac:dyDescent="0.25">
      <c r="A365" s="307"/>
      <c r="B365" s="242"/>
      <c r="C365" s="345"/>
      <c r="D365" s="374"/>
      <c r="E365" s="278"/>
      <c r="F365" s="279"/>
      <c r="G365" s="280"/>
      <c r="H365" s="281"/>
      <c r="I365" s="282" t="s">
        <v>210</v>
      </c>
      <c r="J365" s="282" t="s">
        <v>211</v>
      </c>
      <c r="K365" s="277" t="s">
        <v>212</v>
      </c>
    </row>
    <row r="366" spans="1:11" s="5" customFormat="1" ht="15.75" customHeight="1" x14ac:dyDescent="0.25">
      <c r="A366" s="329" t="s">
        <v>213</v>
      </c>
      <c r="B366" s="242"/>
      <c r="C366" s="345"/>
      <c r="D366" s="374"/>
      <c r="E366" s="283" t="s">
        <v>214</v>
      </c>
      <c r="F366" s="284" t="s">
        <v>215</v>
      </c>
      <c r="G366" s="288" t="s">
        <v>216</v>
      </c>
      <c r="H366" s="289" t="s">
        <v>217</v>
      </c>
      <c r="I366" s="285" t="s">
        <v>218</v>
      </c>
      <c r="J366" s="285" t="s">
        <v>219</v>
      </c>
      <c r="K366" s="277" t="s">
        <v>220</v>
      </c>
    </row>
    <row r="367" spans="1:11" s="5" customFormat="1" ht="15.75" customHeight="1" x14ac:dyDescent="0.25">
      <c r="A367" s="307"/>
      <c r="B367" s="242"/>
      <c r="C367" s="345"/>
      <c r="D367" s="374"/>
      <c r="E367" s="283" t="s">
        <v>221</v>
      </c>
      <c r="F367" s="284" t="s">
        <v>222</v>
      </c>
      <c r="G367" s="288"/>
      <c r="H367" s="289"/>
      <c r="I367" s="294" t="s">
        <v>223</v>
      </c>
      <c r="J367" s="285" t="s">
        <v>224</v>
      </c>
      <c r="K367" s="277" t="s">
        <v>225</v>
      </c>
    </row>
    <row r="368" spans="1:11" s="5" customFormat="1" ht="16.5" customHeight="1" thickBot="1" x14ac:dyDescent="0.3">
      <c r="A368" s="308"/>
      <c r="B368" s="243"/>
      <c r="C368" s="346"/>
      <c r="D368" s="375"/>
      <c r="E368" s="290"/>
      <c r="F368" s="291"/>
      <c r="G368" s="292"/>
      <c r="H368" s="293"/>
      <c r="I368" s="295" t="s">
        <v>226</v>
      </c>
      <c r="J368" s="286"/>
      <c r="K368" s="287" t="s">
        <v>228</v>
      </c>
    </row>
    <row r="369" spans="1:11" s="5" customFormat="1" ht="16.5" customHeight="1" thickTop="1" thickBot="1" x14ac:dyDescent="0.25">
      <c r="A369" s="314"/>
      <c r="B369" s="323"/>
      <c r="C369" s="356"/>
      <c r="D369" s="376"/>
      <c r="E369" s="189" t="s">
        <v>229</v>
      </c>
      <c r="F369" s="189" t="s">
        <v>230</v>
      </c>
      <c r="G369" s="189" t="s">
        <v>231</v>
      </c>
      <c r="H369" s="189" t="s">
        <v>232</v>
      </c>
      <c r="I369" s="189" t="s">
        <v>233</v>
      </c>
      <c r="J369" s="189" t="s">
        <v>234</v>
      </c>
      <c r="K369" s="408"/>
    </row>
    <row r="370" spans="1:11" s="5" customFormat="1" ht="19.5" customHeight="1" thickTop="1" thickBot="1" x14ac:dyDescent="0.3">
      <c r="A370" s="13"/>
      <c r="B370" s="18" t="s">
        <v>830</v>
      </c>
      <c r="C370" s="361" t="s">
        <v>730</v>
      </c>
      <c r="D370" s="20" t="s">
        <v>731</v>
      </c>
      <c r="E370" s="30">
        <v>157554886</v>
      </c>
      <c r="F370" s="30">
        <f>F372+F381</f>
        <v>2455000</v>
      </c>
      <c r="G370" s="30">
        <f>G372+G381</f>
        <v>0</v>
      </c>
      <c r="H370" s="30">
        <v>0</v>
      </c>
      <c r="I370" s="30">
        <v>0</v>
      </c>
      <c r="J370" s="46">
        <f>E370+F370+G370+H370</f>
        <v>160009886</v>
      </c>
      <c r="K370" s="275">
        <f>J370/J$141*100</f>
        <v>3.7895446764449821</v>
      </c>
    </row>
    <row r="371" spans="1:11" s="5" customFormat="1" ht="15.75" customHeight="1" thickTop="1" x14ac:dyDescent="0.2">
      <c r="A371" s="99"/>
      <c r="B371" s="100"/>
      <c r="C371" s="101"/>
      <c r="D371" s="21"/>
      <c r="E371" s="31"/>
      <c r="F371" s="31"/>
      <c r="G371" s="31"/>
      <c r="H371" s="31"/>
      <c r="I371" s="31"/>
      <c r="J371" s="31"/>
      <c r="K371" s="299"/>
    </row>
    <row r="372" spans="1:11" s="5" customFormat="1" ht="15" customHeight="1" x14ac:dyDescent="0.2">
      <c r="A372" s="99">
        <v>500</v>
      </c>
      <c r="B372" s="100"/>
      <c r="C372" s="101" t="s">
        <v>732</v>
      </c>
      <c r="D372" s="21" t="s">
        <v>733</v>
      </c>
      <c r="E372" s="202" t="s">
        <v>845</v>
      </c>
      <c r="F372" s="31">
        <f>+F374+F375+F376+F377</f>
        <v>2455000</v>
      </c>
      <c r="G372" s="31">
        <f>G375</f>
        <v>0</v>
      </c>
      <c r="H372" s="31"/>
      <c r="I372" s="31"/>
      <c r="J372" s="202" t="s">
        <v>845</v>
      </c>
      <c r="K372" s="248"/>
    </row>
    <row r="373" spans="1:11" s="5" customFormat="1" ht="15" customHeight="1" x14ac:dyDescent="0.2">
      <c r="A373" s="99"/>
      <c r="B373" s="100"/>
      <c r="C373" s="101"/>
      <c r="D373" s="21"/>
      <c r="E373" s="31"/>
      <c r="F373" s="31"/>
      <c r="G373" s="31"/>
      <c r="H373" s="31"/>
      <c r="I373" s="31"/>
      <c r="J373" s="31"/>
      <c r="K373" s="248"/>
    </row>
    <row r="374" spans="1:11" s="5" customFormat="1" ht="15" customHeight="1" x14ac:dyDescent="0.2">
      <c r="A374" s="99">
        <v>5000</v>
      </c>
      <c r="B374" s="100"/>
      <c r="C374" s="101" t="s">
        <v>734</v>
      </c>
      <c r="D374" s="21" t="s">
        <v>735</v>
      </c>
      <c r="E374" s="31"/>
      <c r="F374" s="31">
        <v>0</v>
      </c>
      <c r="G374" s="31"/>
      <c r="H374" s="31"/>
      <c r="I374" s="31"/>
      <c r="J374" s="31"/>
      <c r="K374" s="248"/>
    </row>
    <row r="375" spans="1:11" s="5" customFormat="1" ht="15" customHeight="1" x14ac:dyDescent="0.2">
      <c r="A375" s="99">
        <v>5001</v>
      </c>
      <c r="B375" s="100"/>
      <c r="C375" s="101" t="s">
        <v>736</v>
      </c>
      <c r="D375" s="21" t="s">
        <v>737</v>
      </c>
      <c r="E375" s="31"/>
      <c r="F375" s="31">
        <v>1800000</v>
      </c>
      <c r="G375" s="31">
        <v>0</v>
      </c>
      <c r="H375" s="31"/>
      <c r="I375" s="31"/>
      <c r="J375" s="31"/>
      <c r="K375" s="248"/>
    </row>
    <row r="376" spans="1:11" s="5" customFormat="1" ht="15" customHeight="1" x14ac:dyDescent="0.2">
      <c r="A376" s="99">
        <v>5002</v>
      </c>
      <c r="B376" s="100"/>
      <c r="C376" s="101" t="s">
        <v>738</v>
      </c>
      <c r="D376" s="21" t="s">
        <v>739</v>
      </c>
      <c r="E376" s="31"/>
      <c r="F376" s="31">
        <v>5000</v>
      </c>
      <c r="G376" s="31"/>
      <c r="H376" s="31"/>
      <c r="I376" s="31"/>
      <c r="J376" s="31"/>
      <c r="K376" s="248"/>
    </row>
    <row r="377" spans="1:11" s="5" customFormat="1" ht="15" customHeight="1" x14ac:dyDescent="0.2">
      <c r="A377" s="99">
        <v>5003</v>
      </c>
      <c r="B377" s="100"/>
      <c r="C377" s="101" t="s">
        <v>740</v>
      </c>
      <c r="D377" s="21" t="s">
        <v>741</v>
      </c>
      <c r="E377" s="31"/>
      <c r="F377" s="31">
        <v>650000</v>
      </c>
      <c r="G377" s="31"/>
      <c r="H377" s="31"/>
      <c r="I377" s="31"/>
      <c r="J377" s="31"/>
      <c r="K377" s="248"/>
    </row>
    <row r="378" spans="1:11" s="5" customFormat="1" ht="15" customHeight="1" x14ac:dyDescent="0.2">
      <c r="A378" s="210">
        <v>500301</v>
      </c>
      <c r="B378" s="319"/>
      <c r="C378" s="357" t="s">
        <v>742</v>
      </c>
      <c r="D378" s="23" t="s">
        <v>743</v>
      </c>
      <c r="E378" s="31"/>
      <c r="F378" s="31"/>
      <c r="G378" s="31"/>
      <c r="H378" s="31"/>
      <c r="I378" s="31"/>
      <c r="J378" s="31"/>
      <c r="K378" s="248"/>
    </row>
    <row r="379" spans="1:11" s="5" customFormat="1" ht="15" customHeight="1" x14ac:dyDescent="0.2">
      <c r="A379" s="99">
        <v>5004</v>
      </c>
      <c r="B379" s="100"/>
      <c r="C379" s="101" t="s">
        <v>744</v>
      </c>
      <c r="D379" s="21" t="s">
        <v>745</v>
      </c>
      <c r="E379" s="31"/>
      <c r="F379" s="31"/>
      <c r="G379" s="31"/>
      <c r="H379" s="31"/>
      <c r="I379" s="31"/>
      <c r="J379" s="31"/>
      <c r="K379" s="248"/>
    </row>
    <row r="380" spans="1:11" s="5" customFormat="1" ht="15" customHeight="1" x14ac:dyDescent="0.2">
      <c r="A380" s="99"/>
      <c r="B380" s="100"/>
      <c r="C380" s="101"/>
      <c r="D380" s="21" t="s">
        <v>462</v>
      </c>
      <c r="E380" s="31"/>
      <c r="F380" s="31"/>
      <c r="G380" s="31"/>
      <c r="H380" s="31"/>
      <c r="I380" s="31"/>
      <c r="J380" s="31"/>
      <c r="K380" s="248"/>
    </row>
    <row r="381" spans="1:11" s="5" customFormat="1" ht="15" customHeight="1" x14ac:dyDescent="0.2">
      <c r="A381" s="99">
        <v>501</v>
      </c>
      <c r="B381" s="100"/>
      <c r="C381" s="101" t="s">
        <v>746</v>
      </c>
      <c r="D381" s="21" t="s">
        <v>747</v>
      </c>
      <c r="E381" s="202" t="s">
        <v>845</v>
      </c>
      <c r="F381" s="31">
        <v>0</v>
      </c>
      <c r="G381" s="31">
        <v>0</v>
      </c>
      <c r="H381" s="31">
        <v>0</v>
      </c>
      <c r="I381" s="31"/>
      <c r="J381" s="202" t="s">
        <v>845</v>
      </c>
      <c r="K381" s="248"/>
    </row>
    <row r="382" spans="1:11" s="5" customFormat="1" ht="15" customHeight="1" x14ac:dyDescent="0.2">
      <c r="A382" s="99"/>
      <c r="B382" s="100"/>
      <c r="C382" s="101"/>
      <c r="D382" s="21"/>
      <c r="E382" s="31"/>
      <c r="F382" s="31"/>
      <c r="G382" s="31"/>
      <c r="H382" s="31"/>
      <c r="I382" s="31"/>
      <c r="J382" s="31"/>
      <c r="K382" s="248"/>
    </row>
    <row r="383" spans="1:11" s="5" customFormat="1" ht="15" customHeight="1" x14ac:dyDescent="0.2">
      <c r="A383" s="99">
        <v>5010</v>
      </c>
      <c r="B383" s="100"/>
      <c r="C383" s="101" t="s">
        <v>748</v>
      </c>
      <c r="D383" s="21" t="s">
        <v>749</v>
      </c>
      <c r="E383" s="31"/>
      <c r="F383" s="31"/>
      <c r="G383" s="31"/>
      <c r="H383" s="31"/>
      <c r="I383" s="31"/>
      <c r="J383" s="31"/>
      <c r="K383" s="248"/>
    </row>
    <row r="384" spans="1:11" s="5" customFormat="1" ht="15" customHeight="1" x14ac:dyDescent="0.2">
      <c r="A384" s="99">
        <v>5011</v>
      </c>
      <c r="B384" s="100"/>
      <c r="C384" s="101" t="s">
        <v>750</v>
      </c>
      <c r="D384" s="21" t="s">
        <v>751</v>
      </c>
      <c r="E384" s="31"/>
      <c r="F384" s="31"/>
      <c r="G384" s="31"/>
      <c r="H384" s="31"/>
      <c r="I384" s="31"/>
      <c r="J384" s="31"/>
      <c r="K384" s="248"/>
    </row>
    <row r="385" spans="1:11" s="5" customFormat="1" ht="15" customHeight="1" x14ac:dyDescent="0.2">
      <c r="A385" s="99">
        <v>5012</v>
      </c>
      <c r="B385" s="100"/>
      <c r="C385" s="101" t="s">
        <v>752</v>
      </c>
      <c r="D385" s="21" t="s">
        <v>753</v>
      </c>
      <c r="E385" s="31"/>
      <c r="F385" s="31"/>
      <c r="G385" s="31"/>
      <c r="H385" s="31"/>
      <c r="I385" s="31"/>
      <c r="J385" s="31"/>
      <c r="K385" s="248"/>
    </row>
    <row r="386" spans="1:11" s="5" customFormat="1" ht="15" customHeight="1" x14ac:dyDescent="0.2">
      <c r="A386" s="99">
        <v>5013</v>
      </c>
      <c r="B386" s="100"/>
      <c r="C386" s="101" t="s">
        <v>754</v>
      </c>
      <c r="D386" s="21" t="s">
        <v>755</v>
      </c>
      <c r="E386" s="31"/>
      <c r="F386" s="31"/>
      <c r="G386" s="31"/>
      <c r="H386" s="31"/>
      <c r="I386" s="31"/>
      <c r="J386" s="31"/>
      <c r="K386" s="248"/>
    </row>
    <row r="387" spans="1:11" s="5" customFormat="1" ht="15" customHeight="1" x14ac:dyDescent="0.2">
      <c r="A387" s="204">
        <v>5014</v>
      </c>
      <c r="B387" s="205"/>
      <c r="C387" s="206" t="s">
        <v>744</v>
      </c>
      <c r="D387" s="244" t="s">
        <v>756</v>
      </c>
      <c r="E387" s="383"/>
      <c r="F387" s="383"/>
      <c r="G387" s="383"/>
      <c r="H387" s="383"/>
      <c r="I387" s="383"/>
      <c r="J387" s="383"/>
      <c r="K387" s="415"/>
    </row>
    <row r="388" spans="1:11" s="5" customFormat="1" ht="15.75" customHeight="1" thickBot="1" x14ac:dyDescent="0.25">
      <c r="A388" s="362"/>
      <c r="B388" s="363"/>
      <c r="C388" s="364"/>
      <c r="D388" s="365"/>
      <c r="E388" s="366"/>
      <c r="F388" s="366"/>
      <c r="G388" s="366"/>
      <c r="H388" s="366"/>
      <c r="I388" s="366"/>
      <c r="J388" s="366"/>
      <c r="K388" s="405"/>
    </row>
    <row r="389" spans="1:11" s="5" customFormat="1" ht="16.5" customHeight="1" thickTop="1" thickBot="1" x14ac:dyDescent="0.25">
      <c r="A389" s="311"/>
      <c r="B389" s="321"/>
      <c r="C389" s="371"/>
      <c r="D389" s="25"/>
      <c r="E389" s="36"/>
      <c r="F389" s="36"/>
      <c r="G389" s="36"/>
      <c r="H389" s="36"/>
      <c r="I389" s="36"/>
      <c r="J389" s="36"/>
      <c r="K389" s="300"/>
    </row>
    <row r="390" spans="1:11" s="5" customFormat="1" ht="19.5" customHeight="1" thickTop="1" thickBot="1" x14ac:dyDescent="0.3">
      <c r="A390" s="13"/>
      <c r="B390" s="18" t="s">
        <v>757</v>
      </c>
      <c r="C390" s="361" t="s">
        <v>758</v>
      </c>
      <c r="D390" s="20" t="s">
        <v>759</v>
      </c>
      <c r="E390" s="30">
        <f t="shared" ref="E390:J390" si="36">E392+E402</f>
        <v>117983036</v>
      </c>
      <c r="F390" s="30">
        <f t="shared" si="36"/>
        <v>2680000</v>
      </c>
      <c r="G390" s="30">
        <f t="shared" si="36"/>
        <v>9800000</v>
      </c>
      <c r="H390" s="30">
        <f t="shared" si="36"/>
        <v>0</v>
      </c>
      <c r="I390" s="30">
        <f t="shared" si="36"/>
        <v>0</v>
      </c>
      <c r="J390" s="46">
        <f t="shared" si="36"/>
        <v>130463036</v>
      </c>
      <c r="K390" s="275">
        <f>J390/J$141*100</f>
        <v>3.0897809873238087</v>
      </c>
    </row>
    <row r="391" spans="1:11" s="5" customFormat="1" ht="15.75" customHeight="1" thickTop="1" x14ac:dyDescent="0.2">
      <c r="A391" s="99"/>
      <c r="B391" s="100"/>
      <c r="C391" s="101"/>
      <c r="D391" s="21"/>
      <c r="E391" s="31"/>
      <c r="F391" s="31"/>
      <c r="G391" s="31"/>
      <c r="H391" s="31"/>
      <c r="I391" s="31"/>
      <c r="J391" s="31"/>
      <c r="K391" s="299"/>
    </row>
    <row r="392" spans="1:11" s="5" customFormat="1" ht="15" customHeight="1" x14ac:dyDescent="0.2">
      <c r="A392" s="99">
        <v>550</v>
      </c>
      <c r="B392" s="100"/>
      <c r="C392" s="101" t="s">
        <v>760</v>
      </c>
      <c r="D392" s="21" t="s">
        <v>761</v>
      </c>
      <c r="E392" s="31">
        <f>SUM(E394:E400)</f>
        <v>103682464</v>
      </c>
      <c r="F392" s="31">
        <f>SUM(F394:F400)</f>
        <v>2680000</v>
      </c>
      <c r="G392" s="31">
        <f>+G394+G395+G396+G397+G399+G400</f>
        <v>9800000</v>
      </c>
      <c r="H392" s="31">
        <f>SUM(H394:H400)</f>
        <v>0</v>
      </c>
      <c r="I392" s="31">
        <f>SUM(I394:I400)</f>
        <v>0</v>
      </c>
      <c r="J392" s="31">
        <f>SUM(J394:J400)</f>
        <v>116162464</v>
      </c>
      <c r="K392" s="247">
        <f>J392/J$141*100</f>
        <v>2.7510978106311001</v>
      </c>
    </row>
    <row r="393" spans="1:11" s="5" customFormat="1" ht="15" customHeight="1" x14ac:dyDescent="0.2">
      <c r="A393" s="99"/>
      <c r="B393" s="100"/>
      <c r="C393" s="101"/>
      <c r="D393" s="21"/>
      <c r="E393" s="31"/>
      <c r="F393" s="31"/>
      <c r="G393" s="31"/>
      <c r="H393" s="31"/>
      <c r="I393" s="31"/>
      <c r="J393" s="31"/>
      <c r="K393" s="247"/>
    </row>
    <row r="394" spans="1:11" s="5" customFormat="1" ht="15" customHeight="1" x14ac:dyDescent="0.2">
      <c r="A394" s="99">
        <v>5500</v>
      </c>
      <c r="B394" s="100"/>
      <c r="C394" s="101" t="s">
        <v>762</v>
      </c>
      <c r="D394" s="21" t="s">
        <v>763</v>
      </c>
      <c r="E394" s="31">
        <v>0</v>
      </c>
      <c r="F394" s="31">
        <v>0</v>
      </c>
      <c r="G394" s="31"/>
      <c r="H394" s="31">
        <v>0</v>
      </c>
      <c r="I394" s="31">
        <v>0</v>
      </c>
      <c r="J394" s="31">
        <f>E394+F394+G394+H394</f>
        <v>0</v>
      </c>
      <c r="K394" s="247">
        <f>J394/J$141*100</f>
        <v>0</v>
      </c>
    </row>
    <row r="395" spans="1:11" s="5" customFormat="1" ht="15" customHeight="1" x14ac:dyDescent="0.2">
      <c r="A395" s="99">
        <v>5501</v>
      </c>
      <c r="B395" s="100"/>
      <c r="C395" s="101" t="s">
        <v>764</v>
      </c>
      <c r="D395" s="21" t="s">
        <v>765</v>
      </c>
      <c r="E395" s="31">
        <v>20525816</v>
      </c>
      <c r="F395" s="31">
        <v>1800000</v>
      </c>
      <c r="G395" s="31">
        <v>6100000</v>
      </c>
      <c r="H395" s="31">
        <v>0</v>
      </c>
      <c r="I395" s="31">
        <v>0</v>
      </c>
      <c r="J395" s="31">
        <f>E395+F395+G395+H395</f>
        <v>28425816</v>
      </c>
      <c r="K395" s="247">
        <f>J395/J$141*100</f>
        <v>0.67321402689084231</v>
      </c>
    </row>
    <row r="396" spans="1:11" s="5" customFormat="1" ht="15" customHeight="1" x14ac:dyDescent="0.2">
      <c r="A396" s="99">
        <v>5502</v>
      </c>
      <c r="B396" s="100"/>
      <c r="C396" s="101" t="s">
        <v>766</v>
      </c>
      <c r="D396" s="21" t="s">
        <v>767</v>
      </c>
      <c r="E396" s="31">
        <v>0</v>
      </c>
      <c r="F396" s="31">
        <v>30000</v>
      </c>
      <c r="G396" s="31"/>
      <c r="H396" s="31">
        <v>0</v>
      </c>
      <c r="I396" s="31">
        <v>0</v>
      </c>
      <c r="J396" s="31">
        <f>E396+F396+G396+H396</f>
        <v>30000</v>
      </c>
      <c r="K396" s="247">
        <f>J396/J$141*100</f>
        <v>7.1049572707869728E-4</v>
      </c>
    </row>
    <row r="397" spans="1:11" s="5" customFormat="1" ht="15" customHeight="1" x14ac:dyDescent="0.2">
      <c r="A397" s="99">
        <v>5503</v>
      </c>
      <c r="B397" s="100"/>
      <c r="C397" s="101" t="s">
        <v>772</v>
      </c>
      <c r="D397" s="21" t="s">
        <v>773</v>
      </c>
      <c r="E397" s="31">
        <v>0</v>
      </c>
      <c r="F397" s="31">
        <v>600000</v>
      </c>
      <c r="G397" s="31">
        <f>+G398</f>
        <v>3700000</v>
      </c>
      <c r="H397" s="31">
        <v>0</v>
      </c>
      <c r="I397" s="31">
        <v>0</v>
      </c>
      <c r="J397" s="31">
        <f>E397+F397+G397+H397</f>
        <v>4300000</v>
      </c>
      <c r="K397" s="247">
        <f>J397/J$141*100</f>
        <v>0.10183772088127996</v>
      </c>
    </row>
    <row r="398" spans="1:11" s="5" customFormat="1" ht="15" customHeight="1" x14ac:dyDescent="0.2">
      <c r="A398" s="99">
        <v>5503</v>
      </c>
      <c r="B398" s="319"/>
      <c r="C398" s="357" t="s">
        <v>831</v>
      </c>
      <c r="D398" s="23"/>
      <c r="E398" s="33"/>
      <c r="F398" s="33"/>
      <c r="G398" s="33">
        <v>3700000</v>
      </c>
      <c r="H398" s="33"/>
      <c r="I398" s="33"/>
      <c r="J398" s="33"/>
      <c r="K398" s="261"/>
    </row>
    <row r="399" spans="1:11" s="5" customFormat="1" ht="15" customHeight="1" x14ac:dyDescent="0.2">
      <c r="A399" s="210">
        <v>5505</v>
      </c>
      <c r="B399" s="319"/>
      <c r="C399" s="357" t="s">
        <v>802</v>
      </c>
      <c r="D399" s="23" t="s">
        <v>774</v>
      </c>
      <c r="E399" s="33">
        <v>0</v>
      </c>
      <c r="F399" s="33">
        <v>0</v>
      </c>
      <c r="G399" s="33">
        <v>0</v>
      </c>
      <c r="H399" s="33">
        <v>0</v>
      </c>
      <c r="I399" s="33">
        <f>E399+F399+G399+H399</f>
        <v>0</v>
      </c>
      <c r="J399" s="33">
        <f>E399+F399+G399+H399-I399</f>
        <v>0</v>
      </c>
      <c r="K399" s="261">
        <f>J399/J$141*100</f>
        <v>0</v>
      </c>
    </row>
    <row r="400" spans="1:11" s="5" customFormat="1" ht="15" customHeight="1" x14ac:dyDescent="0.2">
      <c r="A400" s="99">
        <v>5504</v>
      </c>
      <c r="B400" s="100"/>
      <c r="C400" s="101" t="s">
        <v>775</v>
      </c>
      <c r="D400" s="21" t="s">
        <v>776</v>
      </c>
      <c r="E400" s="31">
        <v>83156648</v>
      </c>
      <c r="F400" s="31">
        <v>250000</v>
      </c>
      <c r="G400" s="31">
        <v>0</v>
      </c>
      <c r="H400" s="31">
        <v>0</v>
      </c>
      <c r="I400" s="31">
        <v>0</v>
      </c>
      <c r="J400" s="31">
        <f>E400+F400+G400+H400</f>
        <v>83406648</v>
      </c>
      <c r="K400" s="247">
        <f>J400/J$141*100</f>
        <v>1.9753355671318993</v>
      </c>
    </row>
    <row r="401" spans="1:11" s="5" customFormat="1" ht="15" customHeight="1" x14ac:dyDescent="0.2">
      <c r="A401" s="99"/>
      <c r="B401" s="100"/>
      <c r="C401" s="101"/>
      <c r="D401" s="21"/>
      <c r="E401" s="31"/>
      <c r="F401" s="31"/>
      <c r="G401" s="31"/>
      <c r="H401" s="31"/>
      <c r="I401" s="31"/>
      <c r="J401" s="31"/>
      <c r="K401" s="248"/>
    </row>
    <row r="402" spans="1:11" s="5" customFormat="1" ht="15" customHeight="1" x14ac:dyDescent="0.2">
      <c r="A402" s="99">
        <v>551</v>
      </c>
      <c r="B402" s="100"/>
      <c r="C402" s="101" t="s">
        <v>777</v>
      </c>
      <c r="D402" s="21" t="s">
        <v>778</v>
      </c>
      <c r="E402" s="31">
        <f t="shared" ref="E402:J402" si="37">SUM(E404:E407)</f>
        <v>14300572</v>
      </c>
      <c r="F402" s="31">
        <f t="shared" si="37"/>
        <v>0</v>
      </c>
      <c r="G402" s="31">
        <f t="shared" si="37"/>
        <v>0</v>
      </c>
      <c r="H402" s="31">
        <f t="shared" si="37"/>
        <v>0</v>
      </c>
      <c r="I402" s="31">
        <f t="shared" si="37"/>
        <v>0</v>
      </c>
      <c r="J402" s="31">
        <f t="shared" si="37"/>
        <v>14300572</v>
      </c>
      <c r="K402" s="247">
        <f>J402/J$141*100</f>
        <v>0.3386831766927087</v>
      </c>
    </row>
    <row r="403" spans="1:11" s="5" customFormat="1" ht="15" customHeight="1" x14ac:dyDescent="0.2">
      <c r="A403" s="99"/>
      <c r="B403" s="100"/>
      <c r="C403" s="101"/>
      <c r="D403" s="21"/>
      <c r="E403" s="31"/>
      <c r="F403" s="31"/>
      <c r="G403" s="31"/>
      <c r="H403" s="31"/>
      <c r="I403" s="31"/>
      <c r="J403" s="31"/>
      <c r="K403" s="247"/>
    </row>
    <row r="404" spans="1:11" s="5" customFormat="1" ht="15" customHeight="1" x14ac:dyDescent="0.2">
      <c r="A404" s="99">
        <v>5510</v>
      </c>
      <c r="B404" s="100"/>
      <c r="C404" s="101" t="s">
        <v>779</v>
      </c>
      <c r="D404" s="21" t="s">
        <v>780</v>
      </c>
      <c r="E404" s="31">
        <v>8957937</v>
      </c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8957937</v>
      </c>
      <c r="K404" s="247">
        <f>J404/J$141*100</f>
        <v>0.21215253206467219</v>
      </c>
    </row>
    <row r="405" spans="1:11" s="5" customFormat="1" ht="15" customHeight="1" x14ac:dyDescent="0.2">
      <c r="A405" s="99">
        <v>5511</v>
      </c>
      <c r="B405" s="100"/>
      <c r="C405" s="101" t="s">
        <v>781</v>
      </c>
      <c r="D405" s="21" t="s">
        <v>782</v>
      </c>
      <c r="E405" s="31">
        <v>3403120</v>
      </c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3403120</v>
      </c>
      <c r="K405" s="247">
        <f>J405/J$141*100</f>
        <v>8.0596740624535215E-2</v>
      </c>
    </row>
    <row r="406" spans="1:11" s="5" customFormat="1" ht="15" customHeight="1" x14ac:dyDescent="0.2">
      <c r="A406" s="99">
        <v>5512</v>
      </c>
      <c r="B406" s="100"/>
      <c r="C406" s="101" t="s">
        <v>783</v>
      </c>
      <c r="D406" s="21" t="s">
        <v>784</v>
      </c>
      <c r="E406" s="31">
        <v>133255</v>
      </c>
      <c r="F406" s="31">
        <v>0</v>
      </c>
      <c r="G406" s="31">
        <v>0</v>
      </c>
      <c r="H406" s="31">
        <v>0</v>
      </c>
      <c r="I406" s="31">
        <v>0</v>
      </c>
      <c r="J406" s="31">
        <f>E406+F406+G406+H406</f>
        <v>133255</v>
      </c>
      <c r="K406" s="247">
        <f>J406/J$141*100</f>
        <v>3.1559036037290605E-3</v>
      </c>
    </row>
    <row r="407" spans="1:11" s="5" customFormat="1" ht="15" customHeight="1" x14ac:dyDescent="0.2">
      <c r="A407" s="99">
        <v>5513</v>
      </c>
      <c r="B407" s="100"/>
      <c r="C407" s="101" t="s">
        <v>785</v>
      </c>
      <c r="D407" s="21" t="s">
        <v>786</v>
      </c>
      <c r="E407" s="31">
        <v>1806260</v>
      </c>
      <c r="F407" s="31">
        <v>0</v>
      </c>
      <c r="G407" s="31">
        <v>0</v>
      </c>
      <c r="H407" s="31">
        <v>0</v>
      </c>
      <c r="I407" s="31">
        <v>0</v>
      </c>
      <c r="J407" s="31">
        <f>E407+F407+G407+H407</f>
        <v>1806260</v>
      </c>
      <c r="K407" s="247">
        <f>J407/J$141*100</f>
        <v>4.277800039977226E-2</v>
      </c>
    </row>
    <row r="408" spans="1:11" s="5" customFormat="1" ht="15.75" customHeight="1" thickBot="1" x14ac:dyDescent="0.25">
      <c r="A408" s="310"/>
      <c r="B408" s="320"/>
      <c r="C408" s="358"/>
      <c r="D408" s="24"/>
      <c r="E408" s="35"/>
      <c r="F408" s="35"/>
      <c r="G408" s="35"/>
      <c r="H408" s="35"/>
      <c r="I408" s="35"/>
      <c r="J408" s="35"/>
      <c r="K408" s="253"/>
    </row>
    <row r="409" spans="1:11" s="5" customFormat="1" ht="16.5" customHeight="1" thickTop="1" x14ac:dyDescent="0.25">
      <c r="A409" s="315"/>
      <c r="B409" s="324" t="s">
        <v>803</v>
      </c>
      <c r="C409" s="367" t="s">
        <v>789</v>
      </c>
      <c r="D409" s="368" t="s">
        <v>790</v>
      </c>
      <c r="E409" s="41"/>
      <c r="F409" s="41"/>
      <c r="G409" s="41"/>
      <c r="H409" s="41"/>
      <c r="I409" s="41"/>
      <c r="J409" s="410"/>
      <c r="K409" s="332"/>
    </row>
    <row r="410" spans="1:11" s="5" customFormat="1" ht="16.5" customHeight="1" thickBot="1" x14ac:dyDescent="0.3">
      <c r="A410" s="394"/>
      <c r="B410" s="395"/>
      <c r="C410" s="396" t="s">
        <v>804</v>
      </c>
      <c r="D410" s="409" t="s">
        <v>812</v>
      </c>
      <c r="E410" s="398">
        <f t="shared" ref="E410:J410" si="38">E22+E304+E370-E144-E325-E390</f>
        <v>0</v>
      </c>
      <c r="F410" s="398">
        <f t="shared" si="38"/>
        <v>-3005175</v>
      </c>
      <c r="G410" s="398">
        <f t="shared" si="38"/>
        <v>-11249063</v>
      </c>
      <c r="H410" s="398">
        <f t="shared" si="38"/>
        <v>-3391888</v>
      </c>
      <c r="I410" s="398">
        <f t="shared" si="38"/>
        <v>478497</v>
      </c>
      <c r="J410" s="411">
        <f t="shared" si="38"/>
        <v>-18124623</v>
      </c>
      <c r="K410" s="331">
        <f>J410/J$141*100</f>
        <v>-0.42924890654707598</v>
      </c>
    </row>
    <row r="411" spans="1:11" s="5" customFormat="1" ht="16.5" customHeight="1" thickTop="1" x14ac:dyDescent="0.25">
      <c r="A411" s="315"/>
      <c r="B411" s="324"/>
      <c r="C411" s="367"/>
      <c r="D411" s="368"/>
      <c r="E411" s="41"/>
      <c r="F411" s="41"/>
      <c r="G411" s="41"/>
      <c r="H411" s="41"/>
      <c r="I411" s="41"/>
      <c r="J411" s="410"/>
      <c r="K411" s="341"/>
    </row>
    <row r="412" spans="1:11" s="5" customFormat="1" ht="16.5" customHeight="1" thickBot="1" x14ac:dyDescent="0.3">
      <c r="A412" s="333"/>
      <c r="B412" s="325" t="s">
        <v>787</v>
      </c>
      <c r="C412" s="378" t="s">
        <v>805</v>
      </c>
      <c r="D412" s="27" t="s">
        <v>825</v>
      </c>
      <c r="E412" s="42">
        <f t="shared" ref="E412:J412" si="39">E348+E370-E390-E410</f>
        <v>38393135</v>
      </c>
      <c r="F412" s="42">
        <f t="shared" si="39"/>
        <v>3273625</v>
      </c>
      <c r="G412" s="42">
        <f t="shared" si="39"/>
        <v>1449063</v>
      </c>
      <c r="H412" s="42">
        <f t="shared" si="39"/>
        <v>4112353</v>
      </c>
      <c r="I412" s="42">
        <f t="shared" si="39"/>
        <v>239968</v>
      </c>
      <c r="J412" s="412">
        <f t="shared" si="39"/>
        <v>46988208</v>
      </c>
      <c r="K412" s="384">
        <f>J412/J$141*100</f>
        <v>1.1128307002361688</v>
      </c>
    </row>
    <row r="413" spans="1:11" s="5" customFormat="1" ht="15.75" customHeight="1" thickTop="1" x14ac:dyDescent="0.2">
      <c r="A413" s="52"/>
      <c r="B413" s="52"/>
      <c r="C413" s="12"/>
      <c r="D413" s="4"/>
      <c r="E413" s="250"/>
      <c r="F413" s="250"/>
      <c r="G413" s="250"/>
      <c r="H413" s="250"/>
      <c r="I413" s="250"/>
      <c r="J413" s="158"/>
      <c r="K413" s="250"/>
    </row>
    <row r="414" spans="1:11" ht="1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K420"/>
  <sheetViews>
    <sheetView topLeftCell="A9" zoomScale="70" workbookViewId="0">
      <selection activeCell="J143" sqref="J14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34.109375" style="235" hidden="1" customWidth="1"/>
    <col min="5" max="5" width="12.5546875" bestFit="1" customWidth="1"/>
    <col min="6" max="6" width="12.109375" bestFit="1" customWidth="1"/>
    <col min="7" max="7" width="11.5546875" bestFit="1" customWidth="1"/>
    <col min="8" max="8" width="11" bestFit="1" customWidth="1"/>
    <col min="9" max="9" width="12.88671875" bestFit="1" customWidth="1"/>
    <col min="10" max="10" width="16.33203125" bestFit="1" customWidth="1"/>
    <col min="11" max="11" width="8.5546875" bestFit="1" customWidth="1"/>
  </cols>
  <sheetData>
    <row r="1" spans="1:11" s="5" customForma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5" customFormat="1" ht="26.25" x14ac:dyDescent="0.4">
      <c r="A2" s="236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s="5" customFormat="1" ht="26.25" x14ac:dyDescent="0.4">
      <c r="A3" s="236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s="5" customFormat="1" ht="26.25" x14ac:dyDescent="0.4">
      <c r="A4" s="236" t="s">
        <v>837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s="5" customFormat="1" ht="15.75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s="5" customFormat="1" ht="26.25" x14ac:dyDescent="0.4">
      <c r="A6" s="236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s="5" customFormat="1" ht="26.25" x14ac:dyDescent="0.4">
      <c r="A7" s="236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s="5" customFormat="1" ht="26.25" x14ac:dyDescent="0.4">
      <c r="A8" s="236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s="5" customFormat="1" ht="26.25" x14ac:dyDescent="0.4">
      <c r="A9" s="236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s="5" customFormat="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s="5" customFormat="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s="5" customFormat="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s="5" customFormat="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s="5" customFormat="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s="5" customFormat="1" ht="20.25" x14ac:dyDescent="0.3">
      <c r="A15" s="307"/>
      <c r="B15" s="242"/>
      <c r="C15" s="345"/>
      <c r="D15" s="374"/>
      <c r="E15" s="336" t="s">
        <v>839</v>
      </c>
      <c r="F15" s="337"/>
      <c r="G15" s="337"/>
      <c r="H15" s="337"/>
      <c r="I15" s="337"/>
      <c r="J15" s="340"/>
      <c r="K15" s="277" t="s">
        <v>209</v>
      </c>
    </row>
    <row r="16" spans="1:11" s="5" customFormat="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s="5" customFormat="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s="5" customFormat="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s="5" customFormat="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s="5" customFormat="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s="6" customFormat="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E25+E103+E121+E132</f>
        <v>1160743264</v>
      </c>
      <c r="F22" s="73">
        <f>F25+F103+F121+F132-1</f>
        <v>236651278</v>
      </c>
      <c r="G22" s="73">
        <f>G25+G103+G121+G132</f>
        <v>651605473.5</v>
      </c>
      <c r="H22" s="73">
        <f>H25+H103+H121+H132</f>
        <v>302652443.58000004</v>
      </c>
      <c r="I22" s="74">
        <f>I25+I103+I121+I132</f>
        <v>377560015.49399996</v>
      </c>
      <c r="J22" s="75">
        <f>E22+F22+G22+H22-I22</f>
        <v>1974092443.586</v>
      </c>
      <c r="K22" s="76">
        <f>J22/J$143*100</f>
        <v>41.638779277050489</v>
      </c>
    </row>
    <row r="23" spans="1:11" s="6" customFormat="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s="6" customFormat="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E28+E78</f>
        <v>1147738264</v>
      </c>
      <c r="F25" s="32">
        <f t="shared" si="0"/>
        <v>174993010</v>
      </c>
      <c r="G25" s="32">
        <f t="shared" si="0"/>
        <v>456941024</v>
      </c>
      <c r="H25" s="32">
        <f t="shared" si="0"/>
        <v>247218323.08600003</v>
      </c>
      <c r="I25" s="32">
        <f t="shared" si="0"/>
        <v>82077572.5</v>
      </c>
      <c r="J25" s="32">
        <f t="shared" si="0"/>
        <v>1944813048.586</v>
      </c>
      <c r="K25" s="92">
        <f>J25/J$143*100</f>
        <v>41.021200161274166</v>
      </c>
    </row>
    <row r="26" spans="1:11" s="6" customFormat="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E31+E36+E42+E46+E53+E65+E75</f>
        <v>1046056600</v>
      </c>
      <c r="F28" s="32">
        <f t="shared" si="1"/>
        <v>140163710</v>
      </c>
      <c r="G28" s="32">
        <f t="shared" si="1"/>
        <v>453191736</v>
      </c>
      <c r="H28" s="32">
        <f t="shared" si="1"/>
        <v>242404286.08600003</v>
      </c>
      <c r="I28" s="32">
        <f t="shared" si="1"/>
        <v>82077572.5</v>
      </c>
      <c r="J28" s="32">
        <f t="shared" si="1"/>
        <v>1799738759.586</v>
      </c>
      <c r="K28" s="92">
        <f>J28/J$143*100</f>
        <v>37.961203493907924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252888800</v>
      </c>
      <c r="F31" s="31">
        <f t="shared" si="2"/>
        <v>101705080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354593880</v>
      </c>
      <c r="K31" s="103">
        <f>J31/J$143*100</f>
        <v>7.4793135196303737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189300000</v>
      </c>
      <c r="F32" s="31">
        <v>101705080</v>
      </c>
      <c r="G32" s="31">
        <v>0</v>
      </c>
      <c r="H32" s="31">
        <v>0</v>
      </c>
      <c r="I32" s="31">
        <v>0</v>
      </c>
      <c r="J32" s="31">
        <f>E32+F32+G32+H32</f>
        <v>291005080</v>
      </c>
      <c r="K32" s="103">
        <f>J32/J$143*100</f>
        <v>6.1380592048715519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63588800</v>
      </c>
      <c r="F33" s="31">
        <v>0</v>
      </c>
      <c r="G33" s="31">
        <v>0</v>
      </c>
      <c r="H33" s="31">
        <v>0</v>
      </c>
      <c r="I33" s="31">
        <v>0</v>
      </c>
      <c r="J33" s="31">
        <f>E33+F33+G33+H33</f>
        <v>63588800</v>
      </c>
      <c r="K33" s="103">
        <f>J33/J$143*100</f>
        <v>1.3412543147588216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7359600</v>
      </c>
      <c r="F36" s="31">
        <f t="shared" si="3"/>
        <v>0</v>
      </c>
      <c r="G36" s="31">
        <f t="shared" si="3"/>
        <v>453191736</v>
      </c>
      <c r="H36" s="31">
        <f t="shared" si="3"/>
        <v>242404286.08600003</v>
      </c>
      <c r="I36" s="31">
        <f t="shared" si="3"/>
        <v>82077572.5</v>
      </c>
      <c r="J36" s="31">
        <f t="shared" si="3"/>
        <v>620878049.58599997</v>
      </c>
      <c r="K36" s="103">
        <f>J36/J$143*100</f>
        <v>13.095943986146366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4204900</v>
      </c>
      <c r="F37" s="31">
        <v>0</v>
      </c>
      <c r="G37" s="31">
        <v>263955878</v>
      </c>
      <c r="H37" s="31">
        <v>112531413.40000001</v>
      </c>
      <c r="I37" s="31">
        <v>0</v>
      </c>
      <c r="J37" s="31">
        <f>E37+F37+G37+H37</f>
        <v>380692191.39999998</v>
      </c>
      <c r="K37" s="103">
        <f>J37/J$143*100</f>
        <v>8.0297952518405928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2710500</v>
      </c>
      <c r="F38" s="109">
        <v>0</v>
      </c>
      <c r="G38" s="109">
        <v>152279454</v>
      </c>
      <c r="H38" s="109">
        <v>110646092.40000001</v>
      </c>
      <c r="I38" s="109">
        <f>E165+F165+G165+H165+(2224936-275179)+(3518509-2224936)-474021</f>
        <v>82077572.5</v>
      </c>
      <c r="J38" s="109">
        <f>E38+F38+G38+H38-I38</f>
        <v>183558473.90000001</v>
      </c>
      <c r="K38" s="103">
        <f>J38/J$143*100</f>
        <v>3.8717289071175989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407600</v>
      </c>
      <c r="F39" s="31">
        <v>0</v>
      </c>
      <c r="G39" s="31">
        <v>23677433</v>
      </c>
      <c r="H39" s="31">
        <v>14106462.886</v>
      </c>
      <c r="I39" s="31">
        <v>0</v>
      </c>
      <c r="J39" s="31">
        <f>E39+F39+G39+H39</f>
        <v>38191495.886</v>
      </c>
      <c r="K39" s="103">
        <f>J39/J$143*100</f>
        <v>0.80555866196863735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36600</v>
      </c>
      <c r="F40" s="31">
        <v>0</v>
      </c>
      <c r="G40" s="31">
        <v>13278971</v>
      </c>
      <c r="H40" s="31">
        <v>5120317.4000000004</v>
      </c>
      <c r="I40" s="31">
        <v>0</v>
      </c>
      <c r="J40" s="31">
        <f>E40+F40+G40+H40</f>
        <v>18435888.399999999</v>
      </c>
      <c r="K40" s="103">
        <f>J40/J$143*100</f>
        <v>0.38886116521953723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82550600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 t="shared" si="4"/>
        <v>0</v>
      </c>
      <c r="J42" s="31">
        <f t="shared" si="4"/>
        <v>82550600</v>
      </c>
      <c r="K42" s="103">
        <f>J42/J$143*100</f>
        <v>1.7412083328499608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78000000</v>
      </c>
      <c r="F43" s="31">
        <v>0</v>
      </c>
      <c r="G43" s="31">
        <v>0</v>
      </c>
      <c r="H43" s="31">
        <v>0</v>
      </c>
      <c r="I43" s="31">
        <v>0</v>
      </c>
      <c r="J43" s="31">
        <f>E43+F43+G43+H43</f>
        <v>78000000</v>
      </c>
      <c r="K43" s="103">
        <f>J43/J$143*100</f>
        <v>1.6452242619956359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4550600</v>
      </c>
      <c r="F44" s="31">
        <v>0</v>
      </c>
      <c r="G44" s="31">
        <v>0</v>
      </c>
      <c r="H44" s="31">
        <v>0</v>
      </c>
      <c r="I44" s="31">
        <v>0</v>
      </c>
      <c r="J44" s="31">
        <f>E44+F44+G44+H44</f>
        <v>4550600</v>
      </c>
      <c r="K44" s="103">
        <f>J44/J$143*100</f>
        <v>9.5984070854324879E-2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2530000</v>
      </c>
      <c r="F46" s="31">
        <f t="shared" si="5"/>
        <v>27885890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30415890</v>
      </c>
      <c r="K46" s="103">
        <f>J46/J$143*100</f>
        <v>0.64155077151526207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>
        <v>0</v>
      </c>
      <c r="F47" s="31">
        <v>21491150</v>
      </c>
      <c r="G47" s="31">
        <v>0</v>
      </c>
      <c r="H47" s="31">
        <v>0</v>
      </c>
      <c r="I47" s="31">
        <v>0</v>
      </c>
      <c r="J47" s="31">
        <f>E47+F47+G47+H47</f>
        <v>21491150</v>
      </c>
      <c r="K47" s="103">
        <f>J47/J$143*100</f>
        <v>0.45330463331009635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>
        <v>0</v>
      </c>
      <c r="F48" s="31">
        <v>3055</v>
      </c>
      <c r="G48" s="31">
        <v>0</v>
      </c>
      <c r="H48" s="31">
        <v>0</v>
      </c>
      <c r="I48" s="31">
        <v>0</v>
      </c>
      <c r="J48" s="31">
        <f>E48+F48+G48+H48</f>
        <v>3055</v>
      </c>
      <c r="K48" s="103">
        <f>J48/J$143*100</f>
        <v>6.4437950261495746E-5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>
        <v>0</v>
      </c>
      <c r="F49" s="31">
        <v>476550</v>
      </c>
      <c r="G49" s="31">
        <v>0</v>
      </c>
      <c r="H49" s="31">
        <v>0</v>
      </c>
      <c r="I49" s="31">
        <v>0</v>
      </c>
      <c r="J49" s="31">
        <f>E49+F49+G49+H49</f>
        <v>476550</v>
      </c>
      <c r="K49" s="103">
        <f>J49/J$143*100</f>
        <v>1.005168746223103E-2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>
        <v>2530000</v>
      </c>
      <c r="F50" s="31">
        <v>5915135</v>
      </c>
      <c r="G50" s="31">
        <v>0</v>
      </c>
      <c r="H50" s="31">
        <v>0</v>
      </c>
      <c r="I50" s="31">
        <v>0</v>
      </c>
      <c r="J50" s="31">
        <f>E50+F50+G50+H50</f>
        <v>8445135</v>
      </c>
      <c r="K50" s="103">
        <f>J50/J$143*100</f>
        <v>0.17813001279267326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82"/>
      <c r="B52" s="94"/>
      <c r="C52" s="95"/>
      <c r="D52" s="98"/>
      <c r="E52" s="34"/>
      <c r="F52" s="34"/>
      <c r="G52" s="34"/>
      <c r="H52" s="34"/>
      <c r="I52" s="34"/>
      <c r="J52" s="34"/>
      <c r="K52" s="105"/>
    </row>
    <row r="53" spans="1:11" x14ac:dyDescent="0.2">
      <c r="A53" s="99">
        <v>704</v>
      </c>
      <c r="B53" s="100"/>
      <c r="C53" s="101" t="s">
        <v>279</v>
      </c>
      <c r="D53" s="102" t="s">
        <v>280</v>
      </c>
      <c r="E53" s="31">
        <f>SUM(E54:E63)</f>
        <v>665097600</v>
      </c>
      <c r="F53" s="31">
        <f>SUM(F54:F63)</f>
        <v>10547250</v>
      </c>
      <c r="G53" s="31">
        <f>SUM(G54:G63)</f>
        <v>0</v>
      </c>
      <c r="H53" s="31">
        <f>SUM(H54:H63)</f>
        <v>0</v>
      </c>
      <c r="I53" s="31">
        <f>SUM(I54:I62)</f>
        <v>0</v>
      </c>
      <c r="J53" s="31">
        <f>SUM(J54:J63)</f>
        <v>675644850</v>
      </c>
      <c r="K53" s="103">
        <f t="shared" ref="K53:K58" si="6">J53/J$143*100</f>
        <v>14.251119227082079</v>
      </c>
    </row>
    <row r="54" spans="1:11" x14ac:dyDescent="0.2">
      <c r="A54" s="99">
        <v>7040</v>
      </c>
      <c r="B54" s="100"/>
      <c r="C54" s="101" t="s">
        <v>281</v>
      </c>
      <c r="D54" s="102" t="s">
        <v>452</v>
      </c>
      <c r="E54" s="31">
        <v>449923950</v>
      </c>
      <c r="F54" s="31">
        <v>0</v>
      </c>
      <c r="G54" s="31">
        <v>0</v>
      </c>
      <c r="H54" s="31">
        <v>0</v>
      </c>
      <c r="I54" s="31">
        <v>0</v>
      </c>
      <c r="J54" s="31">
        <f>E54+F54+G54+H54</f>
        <v>449923950</v>
      </c>
      <c r="K54" s="103">
        <f t="shared" si="6"/>
        <v>9.4900743409347612</v>
      </c>
    </row>
    <row r="55" spans="1:11" x14ac:dyDescent="0.2">
      <c r="A55" s="99">
        <v>7041</v>
      </c>
      <c r="B55" s="100"/>
      <c r="C55" s="101" t="s">
        <v>453</v>
      </c>
      <c r="D55" s="102" t="s">
        <v>454</v>
      </c>
      <c r="E55" s="31">
        <v>9001500</v>
      </c>
      <c r="F55" s="31">
        <v>0</v>
      </c>
      <c r="G55" s="31">
        <v>0</v>
      </c>
      <c r="H55" s="31">
        <v>0</v>
      </c>
      <c r="I55" s="31">
        <v>0</v>
      </c>
      <c r="J55" s="31">
        <f>E55+F55+G55+H55</f>
        <v>9001500</v>
      </c>
      <c r="K55" s="103">
        <f t="shared" si="6"/>
        <v>0.18986520761991946</v>
      </c>
    </row>
    <row r="56" spans="1:11" x14ac:dyDescent="0.2">
      <c r="A56" s="99">
        <v>7042</v>
      </c>
      <c r="B56" s="100"/>
      <c r="C56" s="101" t="s">
        <v>455</v>
      </c>
      <c r="D56" s="102" t="s">
        <v>456</v>
      </c>
      <c r="E56" s="31">
        <v>160990000</v>
      </c>
      <c r="F56" s="31">
        <v>0</v>
      </c>
      <c r="G56" s="31">
        <v>0</v>
      </c>
      <c r="H56" s="31">
        <v>0</v>
      </c>
      <c r="I56" s="31">
        <v>0</v>
      </c>
      <c r="J56" s="31">
        <f>E56+F56+G56+H56</f>
        <v>160990000</v>
      </c>
      <c r="K56" s="103">
        <f t="shared" si="6"/>
        <v>3.3957006915215056</v>
      </c>
    </row>
    <row r="57" spans="1:11" x14ac:dyDescent="0.2">
      <c r="A57" s="99">
        <v>7043</v>
      </c>
      <c r="B57" s="100"/>
      <c r="C57" s="101" t="s">
        <v>457</v>
      </c>
      <c r="D57" s="102" t="s">
        <v>458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f>E57+F57+G57+H57</f>
        <v>0</v>
      </c>
      <c r="K57" s="103">
        <f t="shared" si="6"/>
        <v>0</v>
      </c>
    </row>
    <row r="58" spans="1:11" x14ac:dyDescent="0.2">
      <c r="A58" s="99">
        <v>7044</v>
      </c>
      <c r="B58" s="100"/>
      <c r="C58" s="101" t="s">
        <v>459</v>
      </c>
      <c r="D58" s="102" t="s">
        <v>460</v>
      </c>
      <c r="E58" s="31">
        <v>16919650</v>
      </c>
      <c r="F58" s="31">
        <v>3594535</v>
      </c>
      <c r="G58" s="31">
        <v>0</v>
      </c>
      <c r="H58" s="31">
        <v>0</v>
      </c>
      <c r="I58" s="31">
        <v>0</v>
      </c>
      <c r="J58" s="31">
        <f>E58+F58+G58+H58</f>
        <v>20514185</v>
      </c>
      <c r="K58" s="103">
        <f t="shared" si="6"/>
        <v>0.43269788303931983</v>
      </c>
    </row>
    <row r="59" spans="1:11" x14ac:dyDescent="0.2">
      <c r="A59" s="82"/>
      <c r="B59" s="94"/>
      <c r="C59" s="95" t="s">
        <v>461</v>
      </c>
      <c r="D59" s="98" t="s">
        <v>462</v>
      </c>
      <c r="E59" s="34"/>
      <c r="F59" s="34"/>
      <c r="G59" s="34"/>
      <c r="H59" s="34"/>
      <c r="I59" s="34"/>
      <c r="J59" s="34"/>
      <c r="K59" s="105"/>
    </row>
    <row r="60" spans="1:11" x14ac:dyDescent="0.2">
      <c r="A60" s="99">
        <v>7045</v>
      </c>
      <c r="B60" s="100"/>
      <c r="C60" s="101" t="s">
        <v>463</v>
      </c>
      <c r="D60" s="102" t="s">
        <v>464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f>E60+F60+G60+H60</f>
        <v>0</v>
      </c>
      <c r="K60" s="103">
        <f>J60/J$143*100</f>
        <v>0</v>
      </c>
    </row>
    <row r="61" spans="1:11" x14ac:dyDescent="0.2">
      <c r="A61" s="99">
        <v>7046</v>
      </c>
      <c r="B61" s="100"/>
      <c r="C61" s="101" t="s">
        <v>465</v>
      </c>
      <c r="D61" s="102" t="s">
        <v>466</v>
      </c>
      <c r="E61" s="31">
        <v>17295000</v>
      </c>
      <c r="F61" s="31">
        <v>19195</v>
      </c>
      <c r="G61" s="31">
        <v>0</v>
      </c>
      <c r="H61" s="31">
        <v>0</v>
      </c>
      <c r="I61" s="31">
        <v>0</v>
      </c>
      <c r="J61" s="31">
        <f>E61+F61+G61+H61</f>
        <v>17314195</v>
      </c>
      <c r="K61" s="103">
        <f>J61/J$143*100</f>
        <v>0.36520171398619911</v>
      </c>
    </row>
    <row r="62" spans="1:11" x14ac:dyDescent="0.2">
      <c r="A62" s="99">
        <v>7047</v>
      </c>
      <c r="B62" s="100"/>
      <c r="C62" s="101" t="s">
        <v>467</v>
      </c>
      <c r="D62" s="102" t="s">
        <v>468</v>
      </c>
      <c r="E62" s="31">
        <v>5972500</v>
      </c>
      <c r="F62" s="31">
        <v>6933520</v>
      </c>
      <c r="G62" s="31">
        <v>0</v>
      </c>
      <c r="H62" s="31">
        <v>0</v>
      </c>
      <c r="I62" s="31">
        <v>0</v>
      </c>
      <c r="J62" s="31">
        <f>E62+F62+G62+H62</f>
        <v>12906020</v>
      </c>
      <c r="K62" s="103">
        <f>J62/J$143*100</f>
        <v>0.27222175935642201</v>
      </c>
    </row>
    <row r="63" spans="1:11" x14ac:dyDescent="0.2">
      <c r="A63" s="99">
        <v>7048</v>
      </c>
      <c r="B63" s="100"/>
      <c r="C63" s="101" t="s">
        <v>815</v>
      </c>
      <c r="D63" s="102" t="s">
        <v>462</v>
      </c>
      <c r="E63" s="31">
        <v>4995000</v>
      </c>
      <c r="F63" s="31">
        <v>0</v>
      </c>
      <c r="G63" s="31">
        <v>0</v>
      </c>
      <c r="H63" s="31">
        <v>0</v>
      </c>
      <c r="I63" s="31">
        <v>0</v>
      </c>
      <c r="J63" s="31">
        <f>E63+F63+G63+H63</f>
        <v>4995000</v>
      </c>
      <c r="K63" s="103">
        <f>J63/J$143*100</f>
        <v>0.1053576306239513</v>
      </c>
    </row>
    <row r="64" spans="1:11" x14ac:dyDescent="0.2">
      <c r="A64" s="82"/>
      <c r="B64" s="94"/>
      <c r="C64" s="95"/>
      <c r="D64" s="97" t="s">
        <v>462</v>
      </c>
      <c r="E64" s="34"/>
      <c r="F64" s="34"/>
      <c r="G64" s="34"/>
      <c r="H64" s="34"/>
      <c r="I64" s="34"/>
      <c r="J64" s="34"/>
      <c r="K64" s="105"/>
    </row>
    <row r="65" spans="1:11" x14ac:dyDescent="0.2">
      <c r="A65" s="99">
        <v>705</v>
      </c>
      <c r="B65" s="100"/>
      <c r="C65" s="101" t="s">
        <v>470</v>
      </c>
      <c r="D65" s="102" t="s">
        <v>471</v>
      </c>
      <c r="E65" s="31">
        <f t="shared" ref="E65:J65" si="7">SUM(E66:E72)</f>
        <v>35630000</v>
      </c>
      <c r="F65" s="31">
        <f t="shared" si="7"/>
        <v>0</v>
      </c>
      <c r="G65" s="31">
        <f t="shared" si="7"/>
        <v>0</v>
      </c>
      <c r="H65" s="31">
        <f t="shared" si="7"/>
        <v>0</v>
      </c>
      <c r="I65" s="31">
        <f t="shared" si="7"/>
        <v>0</v>
      </c>
      <c r="J65" s="31">
        <f t="shared" si="7"/>
        <v>35630000</v>
      </c>
      <c r="K65" s="103">
        <f t="shared" ref="K65:K72" si="8">J65/J$143*100</f>
        <v>0.75153000583210905</v>
      </c>
    </row>
    <row r="66" spans="1:11" x14ac:dyDescent="0.2">
      <c r="A66" s="99">
        <v>7050</v>
      </c>
      <c r="B66" s="100"/>
      <c r="C66" s="101" t="s">
        <v>472</v>
      </c>
      <c r="D66" s="102" t="s">
        <v>473</v>
      </c>
      <c r="E66" s="31">
        <v>33580000</v>
      </c>
      <c r="F66" s="31">
        <v>0</v>
      </c>
      <c r="G66" s="31">
        <v>0</v>
      </c>
      <c r="H66" s="31">
        <v>0</v>
      </c>
      <c r="I66" s="31">
        <v>0</v>
      </c>
      <c r="J66" s="31">
        <f t="shared" ref="J66:J72" si="9">E66+F66+G66+H66</f>
        <v>33580000</v>
      </c>
      <c r="K66" s="103">
        <f t="shared" si="8"/>
        <v>0.70829013740786484</v>
      </c>
    </row>
    <row r="67" spans="1:11" x14ac:dyDescent="0.2">
      <c r="A67" s="99">
        <v>7051</v>
      </c>
      <c r="B67" s="100"/>
      <c r="C67" s="101" t="s">
        <v>474</v>
      </c>
      <c r="D67" s="102" t="s">
        <v>475</v>
      </c>
      <c r="E67" s="31">
        <v>2050000</v>
      </c>
      <c r="F67" s="31">
        <v>0</v>
      </c>
      <c r="G67" s="31">
        <v>0</v>
      </c>
      <c r="H67" s="31">
        <v>0</v>
      </c>
      <c r="I67" s="31">
        <v>0</v>
      </c>
      <c r="J67" s="31">
        <f t="shared" si="9"/>
        <v>2050000</v>
      </c>
      <c r="K67" s="103">
        <f t="shared" si="8"/>
        <v>4.3239868424244279E-2</v>
      </c>
    </row>
    <row r="68" spans="1:11" x14ac:dyDescent="0.2">
      <c r="A68" s="99">
        <v>7052</v>
      </c>
      <c r="B68" s="100"/>
      <c r="C68" s="101" t="s">
        <v>476</v>
      </c>
      <c r="D68" s="102" t="s">
        <v>477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f t="shared" si="9"/>
        <v>0</v>
      </c>
      <c r="K68" s="103">
        <f t="shared" si="8"/>
        <v>0</v>
      </c>
    </row>
    <row r="69" spans="1:11" x14ac:dyDescent="0.2">
      <c r="A69" s="99">
        <v>7053</v>
      </c>
      <c r="B69" s="100"/>
      <c r="C69" s="101" t="s">
        <v>478</v>
      </c>
      <c r="D69" s="102" t="s">
        <v>479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f t="shared" si="9"/>
        <v>0</v>
      </c>
      <c r="K69" s="103">
        <f t="shared" si="8"/>
        <v>0</v>
      </c>
    </row>
    <row r="70" spans="1:11" x14ac:dyDescent="0.2">
      <c r="A70" s="99">
        <v>7054</v>
      </c>
      <c r="B70" s="100"/>
      <c r="C70" s="101" t="s">
        <v>480</v>
      </c>
      <c r="D70" s="102" t="s">
        <v>481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f t="shared" si="9"/>
        <v>0</v>
      </c>
      <c r="K70" s="103">
        <f t="shared" si="8"/>
        <v>0</v>
      </c>
    </row>
    <row r="71" spans="1:11" x14ac:dyDescent="0.2">
      <c r="A71" s="99">
        <v>7055</v>
      </c>
      <c r="B71" s="100"/>
      <c r="C71" s="101" t="s">
        <v>482</v>
      </c>
      <c r="D71" s="102" t="s">
        <v>483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f t="shared" si="9"/>
        <v>0</v>
      </c>
      <c r="K71" s="103">
        <f t="shared" si="8"/>
        <v>0</v>
      </c>
    </row>
    <row r="72" spans="1:11" x14ac:dyDescent="0.2">
      <c r="A72" s="99">
        <v>7056</v>
      </c>
      <c r="B72" s="100"/>
      <c r="C72" s="101" t="s">
        <v>484</v>
      </c>
      <c r="D72" s="102" t="s">
        <v>485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f t="shared" si="9"/>
        <v>0</v>
      </c>
      <c r="K72" s="103">
        <f t="shared" si="8"/>
        <v>0</v>
      </c>
    </row>
    <row r="73" spans="1:11" x14ac:dyDescent="0.2">
      <c r="A73" s="82"/>
      <c r="B73" s="94"/>
      <c r="C73" s="95"/>
      <c r="D73" s="98"/>
      <c r="E73" s="34"/>
      <c r="F73" s="34"/>
      <c r="G73" s="34"/>
      <c r="H73" s="34"/>
      <c r="I73" s="34"/>
      <c r="J73" s="34"/>
      <c r="K73" s="110"/>
    </row>
    <row r="74" spans="1:11" x14ac:dyDescent="0.2">
      <c r="A74" s="82"/>
      <c r="B74" s="94"/>
      <c r="C74" s="95"/>
      <c r="D74" s="97" t="s">
        <v>462</v>
      </c>
      <c r="E74" s="34"/>
      <c r="F74" s="34"/>
      <c r="G74" s="34"/>
      <c r="H74" s="34"/>
      <c r="I74" s="34"/>
      <c r="J74" s="34"/>
      <c r="K74" s="105"/>
    </row>
    <row r="75" spans="1:11" x14ac:dyDescent="0.2">
      <c r="A75" s="99">
        <v>706</v>
      </c>
      <c r="B75" s="100"/>
      <c r="C75" s="101" t="s">
        <v>486</v>
      </c>
      <c r="D75" s="102" t="s">
        <v>487</v>
      </c>
      <c r="E75" s="31">
        <f>E76</f>
        <v>0</v>
      </c>
      <c r="F75" s="31">
        <f>F76</f>
        <v>25490</v>
      </c>
      <c r="G75" s="31">
        <f>G76</f>
        <v>0</v>
      </c>
      <c r="H75" s="31">
        <f>H76</f>
        <v>0</v>
      </c>
      <c r="I75" s="31">
        <f>I76</f>
        <v>0</v>
      </c>
      <c r="J75" s="31">
        <f>E75+F75+G75+H75</f>
        <v>25490</v>
      </c>
      <c r="K75" s="103">
        <f>J75/J$143*100</f>
        <v>5.3765085177267635E-4</v>
      </c>
    </row>
    <row r="76" spans="1:11" x14ac:dyDescent="0.2">
      <c r="A76" s="99">
        <v>7060</v>
      </c>
      <c r="B76" s="100"/>
      <c r="C76" s="101" t="s">
        <v>488</v>
      </c>
      <c r="D76" s="102" t="s">
        <v>489</v>
      </c>
      <c r="E76" s="31">
        <v>0</v>
      </c>
      <c r="F76" s="31">
        <v>25490</v>
      </c>
      <c r="G76" s="31">
        <v>0</v>
      </c>
      <c r="H76" s="31">
        <v>0</v>
      </c>
      <c r="I76" s="31">
        <v>0</v>
      </c>
      <c r="J76" s="31">
        <f>E76+F76+G76+H76</f>
        <v>25490</v>
      </c>
      <c r="K76" s="103">
        <f>J76/J$143*100</f>
        <v>5.3765085177267635E-4</v>
      </c>
    </row>
    <row r="77" spans="1:11" x14ac:dyDescent="0.2">
      <c r="A77" s="82"/>
      <c r="B77" s="94"/>
      <c r="C77" s="95"/>
      <c r="D77" s="98"/>
      <c r="E77" s="86"/>
      <c r="F77" s="86"/>
      <c r="G77" s="86"/>
      <c r="H77" s="86"/>
      <c r="I77" s="86"/>
      <c r="J77" s="86"/>
      <c r="K77" s="87"/>
    </row>
    <row r="78" spans="1:11" ht="15.75" x14ac:dyDescent="0.25">
      <c r="A78" s="88">
        <v>71</v>
      </c>
      <c r="B78" s="89"/>
      <c r="C78" s="90" t="s">
        <v>490</v>
      </c>
      <c r="D78" s="91" t="s">
        <v>491</v>
      </c>
      <c r="E78" s="32">
        <f t="shared" ref="E78:J78" si="10">E81+E88+E92+E95+E99</f>
        <v>101681664</v>
      </c>
      <c r="F78" s="32">
        <f t="shared" si="10"/>
        <v>34829300</v>
      </c>
      <c r="G78" s="32">
        <f t="shared" si="10"/>
        <v>3749288</v>
      </c>
      <c r="H78" s="32">
        <f t="shared" si="10"/>
        <v>4814037</v>
      </c>
      <c r="I78" s="32">
        <f t="shared" si="10"/>
        <v>0</v>
      </c>
      <c r="J78" s="32">
        <f t="shared" si="10"/>
        <v>145074289</v>
      </c>
      <c r="K78" s="92">
        <f>J78/J$143*100</f>
        <v>3.0599966673662387</v>
      </c>
    </row>
    <row r="79" spans="1:11" ht="15.75" x14ac:dyDescent="0.25">
      <c r="A79" s="88"/>
      <c r="B79" s="89"/>
      <c r="C79" s="96" t="s">
        <v>492</v>
      </c>
      <c r="D79" s="97" t="s">
        <v>492</v>
      </c>
      <c r="E79" s="86"/>
      <c r="F79" s="86"/>
      <c r="G79" s="86"/>
      <c r="H79" s="86"/>
      <c r="I79" s="86"/>
      <c r="J79" s="86"/>
      <c r="K79" s="87"/>
    </row>
    <row r="80" spans="1:11" x14ac:dyDescent="0.2">
      <c r="A80" s="99"/>
      <c r="B80" s="100"/>
      <c r="C80" s="101"/>
      <c r="D80" s="102"/>
      <c r="E80" s="31"/>
      <c r="F80" s="31"/>
      <c r="G80" s="31"/>
      <c r="H80" s="31"/>
      <c r="I80" s="31"/>
      <c r="J80" s="31"/>
      <c r="K80" s="104"/>
    </row>
    <row r="81" spans="1:11" x14ac:dyDescent="0.2">
      <c r="A81" s="99">
        <v>710</v>
      </c>
      <c r="B81" s="100"/>
      <c r="C81" s="101" t="s">
        <v>494</v>
      </c>
      <c r="D81" s="102" t="s">
        <v>495</v>
      </c>
      <c r="E81" s="31">
        <f>SUM(E82:E85)</f>
        <v>50846000</v>
      </c>
      <c r="F81" s="31">
        <f>SUM(F82:F85)</f>
        <v>15741720</v>
      </c>
      <c r="G81" s="31">
        <f>SUM(G82:G85)</f>
        <v>131070</v>
      </c>
      <c r="H81" s="31">
        <f>SUM(H82:H85)</f>
        <v>1420191</v>
      </c>
      <c r="I81" s="31">
        <f>SUM(I82:I85)</f>
        <v>0</v>
      </c>
      <c r="J81" s="31">
        <f>E81+F81+G81+H81</f>
        <v>68138981</v>
      </c>
      <c r="K81" s="103">
        <f>J81/J$143*100</f>
        <v>1.4372295478058932</v>
      </c>
    </row>
    <row r="82" spans="1:11" x14ac:dyDescent="0.2">
      <c r="A82" s="99">
        <v>7100</v>
      </c>
      <c r="B82" s="100"/>
      <c r="C82" s="101" t="s">
        <v>496</v>
      </c>
      <c r="D82" s="102" t="s">
        <v>497</v>
      </c>
      <c r="E82" s="31">
        <v>8046000</v>
      </c>
      <c r="F82" s="31">
        <v>134190</v>
      </c>
      <c r="G82" s="31">
        <v>0</v>
      </c>
      <c r="H82" s="31">
        <v>0</v>
      </c>
      <c r="I82" s="31">
        <v>0</v>
      </c>
      <c r="J82" s="31">
        <f>E82+F82+G82+H82</f>
        <v>8180190</v>
      </c>
      <c r="K82" s="103">
        <f>J82/J$143*100</f>
        <v>0.17254162891966771</v>
      </c>
    </row>
    <row r="83" spans="1:11" x14ac:dyDescent="0.2">
      <c r="A83" s="99">
        <v>7101</v>
      </c>
      <c r="B83" s="100"/>
      <c r="C83" s="101" t="s">
        <v>498</v>
      </c>
      <c r="D83" s="102" t="s">
        <v>499</v>
      </c>
      <c r="E83" s="31">
        <v>200000</v>
      </c>
      <c r="F83" s="31">
        <v>320758.5</v>
      </c>
      <c r="G83" s="31">
        <v>0</v>
      </c>
      <c r="H83" s="31">
        <v>0</v>
      </c>
      <c r="I83" s="31">
        <v>0</v>
      </c>
      <c r="J83" s="31">
        <f>E83+F83+G83+H83</f>
        <v>520758.5</v>
      </c>
      <c r="K83" s="103">
        <f>J83/J$143*100</f>
        <v>1.0984160497954544E-2</v>
      </c>
    </row>
    <row r="84" spans="1:11" x14ac:dyDescent="0.2">
      <c r="A84" s="99">
        <v>7102</v>
      </c>
      <c r="B84" s="100"/>
      <c r="C84" s="101" t="s">
        <v>500</v>
      </c>
      <c r="D84" s="102" t="s">
        <v>501</v>
      </c>
      <c r="E84" s="31">
        <v>6800000</v>
      </c>
      <c r="F84" s="31">
        <v>2122861.5</v>
      </c>
      <c r="G84" s="31">
        <v>99000</v>
      </c>
      <c r="H84" s="31">
        <v>1283446</v>
      </c>
      <c r="I84" s="31">
        <v>0</v>
      </c>
      <c r="J84" s="31">
        <f>E84+F84+G84+H84</f>
        <v>10305307.5</v>
      </c>
      <c r="K84" s="103">
        <f>J84/J$143*100</f>
        <v>0.2173659221323794</v>
      </c>
    </row>
    <row r="85" spans="1:11" x14ac:dyDescent="0.2">
      <c r="A85" s="99">
        <v>7103</v>
      </c>
      <c r="B85" s="100"/>
      <c r="C85" s="101" t="s">
        <v>502</v>
      </c>
      <c r="D85" s="102" t="s">
        <v>503</v>
      </c>
      <c r="E85" s="31">
        <v>35800000</v>
      </c>
      <c r="F85" s="31">
        <v>13163910</v>
      </c>
      <c r="G85" s="31">
        <v>32070</v>
      </c>
      <c r="H85" s="31">
        <v>136745</v>
      </c>
      <c r="I85" s="31">
        <v>0</v>
      </c>
      <c r="J85" s="31">
        <f>E85+F85+G85+H85</f>
        <v>49132725</v>
      </c>
      <c r="K85" s="103">
        <f>J85/J$143*100</f>
        <v>1.0363378362558915</v>
      </c>
    </row>
    <row r="86" spans="1:11" x14ac:dyDescent="0.2">
      <c r="A86" s="82"/>
      <c r="B86" s="94"/>
      <c r="C86" s="95" t="s">
        <v>504</v>
      </c>
      <c r="D86" s="98" t="s">
        <v>462</v>
      </c>
      <c r="E86" s="34"/>
      <c r="F86" s="34"/>
      <c r="G86" s="34"/>
      <c r="H86" s="34"/>
      <c r="I86" s="34"/>
      <c r="J86" s="34"/>
      <c r="K86" s="105"/>
    </row>
    <row r="87" spans="1:11" x14ac:dyDescent="0.2">
      <c r="A87" s="82"/>
      <c r="B87" s="94"/>
      <c r="C87" s="95"/>
      <c r="D87" s="98"/>
      <c r="E87" s="34"/>
      <c r="F87" s="34"/>
      <c r="G87" s="34"/>
      <c r="H87" s="34"/>
      <c r="I87" s="34"/>
      <c r="J87" s="34"/>
      <c r="K87" s="105"/>
    </row>
    <row r="88" spans="1:11" x14ac:dyDescent="0.2">
      <c r="A88" s="99">
        <v>711</v>
      </c>
      <c r="B88" s="100"/>
      <c r="C88" s="101" t="s">
        <v>505</v>
      </c>
      <c r="D88" s="102" t="s">
        <v>506</v>
      </c>
      <c r="E88" s="31">
        <f>E89+E90-1</f>
        <v>21839999</v>
      </c>
      <c r="F88" s="31">
        <f>F89+F90</f>
        <v>1440000</v>
      </c>
      <c r="G88" s="31">
        <f>G89+G90</f>
        <v>0</v>
      </c>
      <c r="H88" s="31">
        <f>H89+H90</f>
        <v>0</v>
      </c>
      <c r="I88" s="31">
        <f>I89+I90</f>
        <v>0</v>
      </c>
      <c r="J88" s="31">
        <f>E88+F88+G88+H88</f>
        <v>23279999</v>
      </c>
      <c r="K88" s="103">
        <f>J88/J$143*100</f>
        <v>0.49103614325684797</v>
      </c>
    </row>
    <row r="89" spans="1:11" x14ac:dyDescent="0.2">
      <c r="A89" s="99">
        <v>7110</v>
      </c>
      <c r="B89" s="100"/>
      <c r="C89" s="101" t="s">
        <v>507</v>
      </c>
      <c r="D89" s="102" t="s">
        <v>508</v>
      </c>
      <c r="E89" s="31">
        <v>8158000</v>
      </c>
      <c r="F89" s="31">
        <v>0</v>
      </c>
      <c r="G89" s="31">
        <v>0</v>
      </c>
      <c r="H89" s="31">
        <v>0</v>
      </c>
      <c r="I89" s="31">
        <v>0</v>
      </c>
      <c r="J89" s="31">
        <f>E89+F89+G89+H89</f>
        <v>8158000</v>
      </c>
      <c r="K89" s="103">
        <f>J89/J$143*100</f>
        <v>0.17207358370974871</v>
      </c>
    </row>
    <row r="90" spans="1:11" x14ac:dyDescent="0.2">
      <c r="A90" s="99">
        <v>7111</v>
      </c>
      <c r="B90" s="100"/>
      <c r="C90" s="101" t="s">
        <v>509</v>
      </c>
      <c r="D90" s="102" t="s">
        <v>510</v>
      </c>
      <c r="E90" s="31">
        <v>13682000</v>
      </c>
      <c r="F90" s="31">
        <v>1440000</v>
      </c>
      <c r="G90" s="31">
        <v>0</v>
      </c>
      <c r="H90" s="31">
        <v>0</v>
      </c>
      <c r="I90" s="31">
        <v>0</v>
      </c>
      <c r="J90" s="31">
        <f>E90+F90+G90+H90</f>
        <v>15122000</v>
      </c>
      <c r="K90" s="103">
        <f>J90/J$143*100</f>
        <v>0.31896258063971805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712</v>
      </c>
      <c r="B92" s="100"/>
      <c r="C92" s="101" t="s">
        <v>511</v>
      </c>
      <c r="D92" s="102" t="s">
        <v>512</v>
      </c>
      <c r="E92" s="31">
        <f>E93</f>
        <v>7845500</v>
      </c>
      <c r="F92" s="31">
        <f>F93</f>
        <v>428185</v>
      </c>
      <c r="G92" s="31">
        <f>G93</f>
        <v>0</v>
      </c>
      <c r="H92" s="31">
        <f>H93</f>
        <v>5000</v>
      </c>
      <c r="I92" s="31">
        <f>I93</f>
        <v>0</v>
      </c>
      <c r="J92" s="31">
        <f>E92+F92+G92+H92</f>
        <v>8278685</v>
      </c>
      <c r="K92" s="103">
        <f>J92/J$143*100</f>
        <v>0.17461914640281206</v>
      </c>
    </row>
    <row r="93" spans="1:11" x14ac:dyDescent="0.2">
      <c r="A93" s="99">
        <v>7120</v>
      </c>
      <c r="B93" s="100"/>
      <c r="C93" s="101" t="s">
        <v>513</v>
      </c>
      <c r="D93" s="102" t="s">
        <v>514</v>
      </c>
      <c r="E93" s="31">
        <v>7845500</v>
      </c>
      <c r="F93" s="31">
        <v>428185</v>
      </c>
      <c r="G93" s="31">
        <v>0</v>
      </c>
      <c r="H93" s="31">
        <v>5000</v>
      </c>
      <c r="I93" s="31">
        <v>0</v>
      </c>
      <c r="J93" s="31">
        <f>E93+F93+G93+H93</f>
        <v>8278685</v>
      </c>
      <c r="K93" s="103">
        <f>J93/J$143*100</f>
        <v>0.17461914640281206</v>
      </c>
    </row>
    <row r="94" spans="1:11" x14ac:dyDescent="0.2">
      <c r="A94" s="82"/>
      <c r="B94" s="94"/>
      <c r="C94" s="95"/>
      <c r="D94" s="98"/>
      <c r="E94" s="34"/>
      <c r="F94" s="34"/>
      <c r="G94" s="34"/>
      <c r="H94" s="34"/>
      <c r="I94" s="34"/>
      <c r="J94" s="34"/>
      <c r="K94" s="105"/>
    </row>
    <row r="95" spans="1:11" x14ac:dyDescent="0.2">
      <c r="A95" s="99">
        <v>713</v>
      </c>
      <c r="B95" s="100"/>
      <c r="C95" s="101" t="s">
        <v>515</v>
      </c>
      <c r="D95" s="102" t="s">
        <v>516</v>
      </c>
      <c r="E95" s="31">
        <f t="shared" ref="E95:J95" si="11">E96</f>
        <v>6542765</v>
      </c>
      <c r="F95" s="31">
        <f t="shared" si="11"/>
        <v>1528333</v>
      </c>
      <c r="G95" s="31">
        <f t="shared" si="11"/>
        <v>21600</v>
      </c>
      <c r="H95" s="31">
        <f t="shared" si="11"/>
        <v>1948145</v>
      </c>
      <c r="I95" s="31">
        <f t="shared" si="11"/>
        <v>0</v>
      </c>
      <c r="J95" s="31">
        <f t="shared" si="11"/>
        <v>10040843</v>
      </c>
      <c r="K95" s="103">
        <f>J95/J$143*100</f>
        <v>0.21178767326268011</v>
      </c>
    </row>
    <row r="96" spans="1:11" x14ac:dyDescent="0.2">
      <c r="A96" s="99">
        <v>7130</v>
      </c>
      <c r="B96" s="100"/>
      <c r="C96" s="101" t="s">
        <v>517</v>
      </c>
      <c r="D96" s="102" t="s">
        <v>518</v>
      </c>
      <c r="E96" s="31">
        <v>6542765</v>
      </c>
      <c r="F96" s="31">
        <v>1528333</v>
      </c>
      <c r="G96" s="31">
        <v>21600</v>
      </c>
      <c r="H96" s="31">
        <v>1948145</v>
      </c>
      <c r="I96" s="31">
        <v>0</v>
      </c>
      <c r="J96" s="31">
        <f>E96+F96+G96+H96-I96</f>
        <v>10040843</v>
      </c>
      <c r="K96" s="103">
        <f>J96/J$143*100</f>
        <v>0.21178767326268011</v>
      </c>
    </row>
    <row r="97" spans="1:11" x14ac:dyDescent="0.2">
      <c r="A97" s="82"/>
      <c r="B97" s="94"/>
      <c r="C97" s="95" t="s">
        <v>519</v>
      </c>
      <c r="D97" s="98"/>
      <c r="E97" s="34"/>
      <c r="F97" s="34"/>
      <c r="G97" s="34"/>
      <c r="H97" s="34"/>
      <c r="I97" s="34"/>
      <c r="J97" s="111"/>
      <c r="K97" s="105"/>
    </row>
    <row r="98" spans="1:11" x14ac:dyDescent="0.2">
      <c r="A98" s="82"/>
      <c r="B98" s="94"/>
      <c r="C98" s="95"/>
      <c r="D98" s="97" t="s">
        <v>462</v>
      </c>
      <c r="E98" s="34"/>
      <c r="F98" s="34"/>
      <c r="G98" s="34"/>
      <c r="H98" s="34"/>
      <c r="I98" s="34"/>
      <c r="J98" s="34"/>
      <c r="K98" s="105"/>
    </row>
    <row r="99" spans="1:11" x14ac:dyDescent="0.2">
      <c r="A99" s="99">
        <v>714</v>
      </c>
      <c r="B99" s="100"/>
      <c r="C99" s="101" t="s">
        <v>520</v>
      </c>
      <c r="D99" s="102" t="s">
        <v>521</v>
      </c>
      <c r="E99" s="31">
        <f t="shared" ref="E99:J99" si="12">E100+E101</f>
        <v>14607400</v>
      </c>
      <c r="F99" s="31">
        <f t="shared" si="12"/>
        <v>15691062</v>
      </c>
      <c r="G99" s="31">
        <f t="shared" si="12"/>
        <v>3596618</v>
      </c>
      <c r="H99" s="31">
        <f t="shared" si="12"/>
        <v>1440701</v>
      </c>
      <c r="I99" s="31">
        <f t="shared" si="12"/>
        <v>0</v>
      </c>
      <c r="J99" s="31">
        <f t="shared" si="12"/>
        <v>35335781</v>
      </c>
      <c r="K99" s="103">
        <f>J99/J$143*100</f>
        <v>0.74532415663800533</v>
      </c>
    </row>
    <row r="100" spans="1:11" x14ac:dyDescent="0.2">
      <c r="A100" s="99">
        <v>7140</v>
      </c>
      <c r="B100" s="100"/>
      <c r="C100" s="101" t="s">
        <v>522</v>
      </c>
      <c r="D100" s="102" t="s">
        <v>523</v>
      </c>
      <c r="E100" s="31">
        <v>0</v>
      </c>
      <c r="F100" s="31">
        <v>0</v>
      </c>
      <c r="G100" s="31">
        <v>2770218</v>
      </c>
      <c r="H100" s="31">
        <v>0</v>
      </c>
      <c r="I100" s="31">
        <v>0</v>
      </c>
      <c r="J100" s="31">
        <f>E100+F100+G100+H100</f>
        <v>2770218</v>
      </c>
      <c r="K100" s="103">
        <f>J100/J$143*100</f>
        <v>5.8431152110474706E-2</v>
      </c>
    </row>
    <row r="101" spans="1:11" x14ac:dyDescent="0.2">
      <c r="A101" s="99">
        <v>7141</v>
      </c>
      <c r="B101" s="100"/>
      <c r="C101" s="101" t="s">
        <v>524</v>
      </c>
      <c r="D101" s="102" t="s">
        <v>525</v>
      </c>
      <c r="E101" s="31">
        <v>14607400</v>
      </c>
      <c r="F101" s="31">
        <v>15691062</v>
      </c>
      <c r="G101" s="31">
        <v>826400</v>
      </c>
      <c r="H101" s="31">
        <v>1440701</v>
      </c>
      <c r="I101" s="31">
        <v>0</v>
      </c>
      <c r="J101" s="31">
        <f>E101+F101+G101+H101-I101</f>
        <v>32565563</v>
      </c>
      <c r="K101" s="103">
        <f>J101/J$143*100</f>
        <v>0.68689300452753055</v>
      </c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ht="15.75" x14ac:dyDescent="0.25">
      <c r="A103" s="88">
        <v>72</v>
      </c>
      <c r="B103" s="89"/>
      <c r="C103" s="90" t="s">
        <v>526</v>
      </c>
      <c r="D103" s="91" t="s">
        <v>527</v>
      </c>
      <c r="E103" s="32">
        <f>E106+E112+E116</f>
        <v>3000000</v>
      </c>
      <c r="F103" s="32">
        <f>F106+F112+F116</f>
        <v>7951200</v>
      </c>
      <c r="G103" s="32">
        <f>G106+G112+G116</f>
        <v>50873</v>
      </c>
      <c r="H103" s="32">
        <f>H106+H112+H116</f>
        <v>15723</v>
      </c>
      <c r="I103" s="32">
        <f>I106+I112+I116</f>
        <v>0</v>
      </c>
      <c r="J103" s="32">
        <f>E103+F103+G103+H103</f>
        <v>11017796</v>
      </c>
      <c r="K103" s="92">
        <f>J103/J$143*100</f>
        <v>0.23239417042203164</v>
      </c>
    </row>
    <row r="104" spans="1:11" ht="15.75" x14ac:dyDescent="0.25">
      <c r="A104" s="88"/>
      <c r="B104" s="89"/>
      <c r="C104" s="96" t="s">
        <v>528</v>
      </c>
      <c r="D104" s="97" t="s">
        <v>528</v>
      </c>
      <c r="E104" s="86"/>
      <c r="F104" s="86"/>
      <c r="G104" s="86"/>
      <c r="H104" s="86"/>
      <c r="I104" s="86"/>
      <c r="J104" s="86"/>
      <c r="K104" s="87"/>
    </row>
    <row r="105" spans="1:11" x14ac:dyDescent="0.2">
      <c r="A105" s="82"/>
      <c r="B105" s="94"/>
      <c r="C105" s="95"/>
      <c r="D105" s="98"/>
      <c r="E105" s="86"/>
      <c r="F105" s="86"/>
      <c r="G105" s="86"/>
      <c r="H105" s="86"/>
      <c r="I105" s="86"/>
      <c r="J105" s="86"/>
      <c r="K105" s="87"/>
    </row>
    <row r="106" spans="1:11" x14ac:dyDescent="0.2">
      <c r="A106" s="99">
        <v>720</v>
      </c>
      <c r="B106" s="100"/>
      <c r="C106" s="101" t="s">
        <v>529</v>
      </c>
      <c r="D106" s="102" t="s">
        <v>530</v>
      </c>
      <c r="E106" s="31">
        <f>SUM(E107:E110)</f>
        <v>2500000</v>
      </c>
      <c r="F106" s="31">
        <f>SUM(F107:F110)</f>
        <v>4063666</v>
      </c>
      <c r="G106" s="31">
        <f>SUM(G107:G110)</f>
        <v>50873</v>
      </c>
      <c r="H106" s="31">
        <f>SUM(H107:H110)</f>
        <v>15723</v>
      </c>
      <c r="I106" s="31">
        <f>SUM(I107:I110)</f>
        <v>0</v>
      </c>
      <c r="J106" s="31">
        <f>E106+F106+G106+H106</f>
        <v>6630262</v>
      </c>
      <c r="K106" s="103">
        <f>J106/J$143*100</f>
        <v>0.13984958853573987</v>
      </c>
    </row>
    <row r="107" spans="1:11" x14ac:dyDescent="0.2">
      <c r="A107" s="99">
        <v>7200</v>
      </c>
      <c r="B107" s="100"/>
      <c r="C107" s="101" t="s">
        <v>531</v>
      </c>
      <c r="D107" s="102" t="s">
        <v>532</v>
      </c>
      <c r="E107" s="31">
        <v>2350000</v>
      </c>
      <c r="F107" s="31">
        <v>3915938</v>
      </c>
      <c r="G107" s="31">
        <v>0</v>
      </c>
      <c r="H107" s="31">
        <v>5000</v>
      </c>
      <c r="I107" s="31">
        <v>0</v>
      </c>
      <c r="J107" s="31">
        <f>E107+F107+G107+H107</f>
        <v>6270938</v>
      </c>
      <c r="K107" s="103">
        <f>J107/J$143*100</f>
        <v>0.13227050439833832</v>
      </c>
    </row>
    <row r="108" spans="1:11" x14ac:dyDescent="0.2">
      <c r="A108" s="99">
        <v>7201</v>
      </c>
      <c r="B108" s="100"/>
      <c r="C108" s="101" t="s">
        <v>533</v>
      </c>
      <c r="D108" s="102" t="s">
        <v>534</v>
      </c>
      <c r="E108" s="31">
        <v>50000</v>
      </c>
      <c r="F108" s="31">
        <v>22493</v>
      </c>
      <c r="G108" s="31">
        <v>0</v>
      </c>
      <c r="H108" s="31">
        <v>6331</v>
      </c>
      <c r="I108" s="31">
        <v>0</v>
      </c>
      <c r="J108" s="31">
        <f>E108+F108+G108+H108</f>
        <v>78824</v>
      </c>
      <c r="K108" s="103">
        <f>J108/J$143*100</f>
        <v>1.6626045798403077E-3</v>
      </c>
    </row>
    <row r="109" spans="1:11" x14ac:dyDescent="0.2">
      <c r="A109" s="99">
        <v>7202</v>
      </c>
      <c r="B109" s="100"/>
      <c r="C109" s="101" t="s">
        <v>535</v>
      </c>
      <c r="D109" s="102" t="s">
        <v>536</v>
      </c>
      <c r="E109" s="31">
        <v>100000</v>
      </c>
      <c r="F109" s="31">
        <v>819</v>
      </c>
      <c r="G109" s="31">
        <v>50873</v>
      </c>
      <c r="H109" s="31">
        <v>2820</v>
      </c>
      <c r="I109" s="31">
        <v>0</v>
      </c>
      <c r="J109" s="31">
        <f>E109+F109+G109+H109</f>
        <v>154512</v>
      </c>
      <c r="K109" s="103">
        <f>J109/J$143*100</f>
        <v>3.2590627073008933E-3</v>
      </c>
    </row>
    <row r="110" spans="1:11" x14ac:dyDescent="0.2">
      <c r="A110" s="99">
        <v>7203</v>
      </c>
      <c r="B110" s="100"/>
      <c r="C110" s="101" t="s">
        <v>537</v>
      </c>
      <c r="D110" s="102" t="s">
        <v>538</v>
      </c>
      <c r="E110" s="31">
        <v>0</v>
      </c>
      <c r="F110" s="31">
        <v>124416</v>
      </c>
      <c r="G110" s="31">
        <v>0</v>
      </c>
      <c r="H110" s="31">
        <v>1572</v>
      </c>
      <c r="I110" s="31">
        <v>0</v>
      </c>
      <c r="J110" s="31">
        <f>E110+F110+G110+H110</f>
        <v>125988</v>
      </c>
      <c r="K110" s="103">
        <f>J110/J$143*100</f>
        <v>2.6574168502603358E-3</v>
      </c>
    </row>
    <row r="111" spans="1:11" x14ac:dyDescent="0.2">
      <c r="A111" s="82"/>
      <c r="B111" s="94"/>
      <c r="C111" s="95"/>
      <c r="D111" s="98"/>
      <c r="E111" s="34"/>
      <c r="F111" s="34"/>
      <c r="G111" s="34"/>
      <c r="H111" s="34"/>
      <c r="I111" s="34"/>
      <c r="J111" s="34"/>
      <c r="K111" s="105"/>
    </row>
    <row r="112" spans="1:11" x14ac:dyDescent="0.2">
      <c r="A112" s="99">
        <v>721</v>
      </c>
      <c r="B112" s="100"/>
      <c r="C112" s="101" t="s">
        <v>539</v>
      </c>
      <c r="D112" s="102" t="s">
        <v>540</v>
      </c>
      <c r="E112" s="31">
        <f>E113+E114</f>
        <v>0</v>
      </c>
      <c r="F112" s="31">
        <f>F113+F114</f>
        <v>12734</v>
      </c>
      <c r="G112" s="31">
        <f>G113+G114</f>
        <v>0</v>
      </c>
      <c r="H112" s="31">
        <f>H113+H114</f>
        <v>0</v>
      </c>
      <c r="I112" s="31">
        <f>I113+I114</f>
        <v>0</v>
      </c>
      <c r="J112" s="31">
        <f>E112+F112+G112+H112</f>
        <v>12734</v>
      </c>
      <c r="K112" s="103">
        <f>J112/J$143*100</f>
        <v>2.6859340708015932E-4</v>
      </c>
    </row>
    <row r="113" spans="1:11" x14ac:dyDescent="0.2">
      <c r="A113" s="99">
        <v>7210</v>
      </c>
      <c r="B113" s="100"/>
      <c r="C113" s="101" t="s">
        <v>541</v>
      </c>
      <c r="D113" s="102" t="s">
        <v>542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f>E113+F113+G113+H113</f>
        <v>0</v>
      </c>
      <c r="K113" s="104"/>
    </row>
    <row r="114" spans="1:11" x14ac:dyDescent="0.2">
      <c r="A114" s="99">
        <v>7211</v>
      </c>
      <c r="B114" s="100"/>
      <c r="C114" s="101" t="s">
        <v>543</v>
      </c>
      <c r="D114" s="102" t="s">
        <v>544</v>
      </c>
      <c r="E114" s="31">
        <v>0</v>
      </c>
      <c r="F114" s="31">
        <v>12734</v>
      </c>
      <c r="G114" s="31">
        <v>0</v>
      </c>
      <c r="H114" s="31">
        <v>0</v>
      </c>
      <c r="I114" s="31">
        <v>0</v>
      </c>
      <c r="J114" s="31">
        <f>E114+F114+G114+H114</f>
        <v>12734</v>
      </c>
      <c r="K114" s="104"/>
    </row>
    <row r="115" spans="1:11" x14ac:dyDescent="0.2">
      <c r="A115" s="82"/>
      <c r="B115" s="94"/>
      <c r="C115" s="95"/>
      <c r="D115" s="98"/>
      <c r="E115" s="34"/>
      <c r="F115" s="34"/>
      <c r="G115" s="34"/>
      <c r="H115" s="34"/>
      <c r="I115" s="34"/>
      <c r="J115" s="34"/>
      <c r="K115" s="105"/>
    </row>
    <row r="116" spans="1:11" x14ac:dyDescent="0.2">
      <c r="A116" s="99">
        <v>722</v>
      </c>
      <c r="B116" s="100"/>
      <c r="C116" s="101" t="s">
        <v>545</v>
      </c>
      <c r="D116" s="102" t="s">
        <v>546</v>
      </c>
      <c r="E116" s="31">
        <f>E117+E118+E119</f>
        <v>500000</v>
      </c>
      <c r="F116" s="31">
        <f>F117+F118+F119</f>
        <v>3874800</v>
      </c>
      <c r="G116" s="31">
        <f>G117+G118+G119</f>
        <v>0</v>
      </c>
      <c r="H116" s="31">
        <f>H117+H118+H119</f>
        <v>0</v>
      </c>
      <c r="I116" s="31">
        <f>I117+I118+I119</f>
        <v>0</v>
      </c>
      <c r="J116" s="31">
        <f>E116+F116+G116+H116</f>
        <v>4374800</v>
      </c>
      <c r="K116" s="103">
        <f>J116/J$143*100</f>
        <v>9.2275988479211646E-2</v>
      </c>
    </row>
    <row r="117" spans="1:11" x14ac:dyDescent="0.2">
      <c r="A117" s="99">
        <v>7220</v>
      </c>
      <c r="B117" s="100"/>
      <c r="C117" s="101" t="s">
        <v>547</v>
      </c>
      <c r="D117" s="102" t="s">
        <v>548</v>
      </c>
      <c r="E117" s="31">
        <v>0</v>
      </c>
      <c r="F117" s="31">
        <v>125480</v>
      </c>
      <c r="G117" s="31">
        <v>0</v>
      </c>
      <c r="H117" s="31">
        <v>0</v>
      </c>
      <c r="I117" s="31">
        <v>0</v>
      </c>
      <c r="J117" s="31">
        <f>E117+F117+G117+H117</f>
        <v>125480</v>
      </c>
      <c r="K117" s="104"/>
    </row>
    <row r="118" spans="1:11" x14ac:dyDescent="0.2">
      <c r="A118" s="99">
        <v>7221</v>
      </c>
      <c r="B118" s="100"/>
      <c r="C118" s="101" t="s">
        <v>549</v>
      </c>
      <c r="D118" s="102" t="s">
        <v>550</v>
      </c>
      <c r="E118" s="31">
        <v>500000</v>
      </c>
      <c r="F118" s="31">
        <v>3690088</v>
      </c>
      <c r="G118" s="31">
        <v>0</v>
      </c>
      <c r="H118" s="31">
        <v>0</v>
      </c>
      <c r="I118" s="31">
        <v>0</v>
      </c>
      <c r="J118" s="31">
        <f>E118+F118+G118+H118</f>
        <v>4190088</v>
      </c>
      <c r="K118" s="104"/>
    </row>
    <row r="119" spans="1:11" x14ac:dyDescent="0.2">
      <c r="A119" s="99">
        <v>7222</v>
      </c>
      <c r="B119" s="100"/>
      <c r="C119" s="101" t="s">
        <v>551</v>
      </c>
      <c r="D119" s="102" t="s">
        <v>552</v>
      </c>
      <c r="E119" s="31">
        <v>0</v>
      </c>
      <c r="F119" s="31">
        <v>59232</v>
      </c>
      <c r="G119" s="31">
        <v>0</v>
      </c>
      <c r="H119" s="31">
        <v>0</v>
      </c>
      <c r="I119" s="31">
        <v>0</v>
      </c>
      <c r="J119" s="31">
        <f>E119+F119+G119+H119</f>
        <v>59232</v>
      </c>
      <c r="K119" s="104"/>
    </row>
    <row r="120" spans="1:11" x14ac:dyDescent="0.2">
      <c r="A120" s="82"/>
      <c r="B120" s="94"/>
      <c r="C120" s="95"/>
      <c r="D120" s="98" t="s">
        <v>462</v>
      </c>
      <c r="E120" s="86"/>
      <c r="F120" s="86"/>
      <c r="G120" s="86"/>
      <c r="H120" s="86"/>
      <c r="I120" s="86"/>
      <c r="J120" s="86"/>
      <c r="K120" s="87"/>
    </row>
    <row r="121" spans="1:11" ht="15.75" x14ac:dyDescent="0.25">
      <c r="A121" s="88">
        <v>73</v>
      </c>
      <c r="B121" s="89"/>
      <c r="C121" s="90" t="s">
        <v>553</v>
      </c>
      <c r="D121" s="91" t="s">
        <v>554</v>
      </c>
      <c r="E121" s="32">
        <f>E124+E128</f>
        <v>10000000</v>
      </c>
      <c r="F121" s="32">
        <f>F124+F128</f>
        <v>954000</v>
      </c>
      <c r="G121" s="32">
        <f>G124+G128</f>
        <v>0</v>
      </c>
      <c r="H121" s="32">
        <f>H124+H128</f>
        <v>0</v>
      </c>
      <c r="I121" s="32">
        <f>I124+I128</f>
        <v>0</v>
      </c>
      <c r="J121" s="32">
        <f>E121+F121+G121+H121</f>
        <v>10954000</v>
      </c>
      <c r="K121" s="92">
        <f>J121/J$143*100</f>
        <v>0.23104854571666919</v>
      </c>
    </row>
    <row r="122" spans="1:11" ht="15.75" x14ac:dyDescent="0.25">
      <c r="A122" s="88"/>
      <c r="B122" s="89"/>
      <c r="C122" s="96" t="s">
        <v>555</v>
      </c>
      <c r="D122" s="97" t="s">
        <v>555</v>
      </c>
      <c r="E122" s="86"/>
      <c r="F122" s="86"/>
      <c r="G122" s="86"/>
      <c r="H122" s="86"/>
      <c r="I122" s="86"/>
      <c r="J122" s="86"/>
      <c r="K122" s="87"/>
    </row>
    <row r="123" spans="1:11" x14ac:dyDescent="0.2">
      <c r="A123" s="82"/>
      <c r="B123" s="94"/>
      <c r="C123" s="95"/>
      <c r="D123" s="98"/>
      <c r="E123" s="86"/>
      <c r="F123" s="86"/>
      <c r="G123" s="86"/>
      <c r="H123" s="86"/>
      <c r="I123" s="86"/>
      <c r="J123" s="86"/>
      <c r="K123" s="87"/>
    </row>
    <row r="124" spans="1:11" x14ac:dyDescent="0.2">
      <c r="A124" s="99">
        <v>730</v>
      </c>
      <c r="B124" s="100"/>
      <c r="C124" s="101" t="s">
        <v>556</v>
      </c>
      <c r="D124" s="102" t="s">
        <v>557</v>
      </c>
      <c r="E124" s="31">
        <f t="shared" ref="E124:J124" si="13">E125+E126</f>
        <v>0</v>
      </c>
      <c r="F124" s="31">
        <f t="shared" si="13"/>
        <v>814870</v>
      </c>
      <c r="G124" s="31">
        <f t="shared" si="13"/>
        <v>0</v>
      </c>
      <c r="H124" s="31">
        <f t="shared" si="13"/>
        <v>0</v>
      </c>
      <c r="I124" s="31">
        <f t="shared" si="13"/>
        <v>0</v>
      </c>
      <c r="J124" s="31">
        <f t="shared" si="13"/>
        <v>814870</v>
      </c>
      <c r="K124" s="103">
        <f>J124/J$143*100</f>
        <v>1.7187742235543382E-2</v>
      </c>
    </row>
    <row r="125" spans="1:11" x14ac:dyDescent="0.2">
      <c r="A125" s="99">
        <v>7300</v>
      </c>
      <c r="B125" s="100"/>
      <c r="C125" s="101" t="s">
        <v>558</v>
      </c>
      <c r="D125" s="102" t="s">
        <v>559</v>
      </c>
      <c r="E125" s="31">
        <v>0</v>
      </c>
      <c r="F125" s="31">
        <v>814870</v>
      </c>
      <c r="G125" s="31">
        <v>0</v>
      </c>
      <c r="H125" s="31">
        <v>0</v>
      </c>
      <c r="I125" s="31">
        <v>0</v>
      </c>
      <c r="J125" s="31">
        <f>E125+F125+G125+H125</f>
        <v>814870</v>
      </c>
      <c r="K125" s="103">
        <f>J125/J$143*100</f>
        <v>1.7187742235543382E-2</v>
      </c>
    </row>
    <row r="126" spans="1:11" x14ac:dyDescent="0.2">
      <c r="A126" s="99">
        <v>7301</v>
      </c>
      <c r="B126" s="100"/>
      <c r="C126" s="101" t="s">
        <v>560</v>
      </c>
      <c r="D126" s="102" t="s">
        <v>561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f>E126+F126+G126+H126</f>
        <v>0</v>
      </c>
      <c r="K126" s="103">
        <f>J126/J$143*100</f>
        <v>0</v>
      </c>
    </row>
    <row r="127" spans="1:11" x14ac:dyDescent="0.2">
      <c r="A127" s="82"/>
      <c r="B127" s="94"/>
      <c r="C127" s="95"/>
      <c r="D127" s="98"/>
      <c r="E127" s="34"/>
      <c r="F127" s="34"/>
      <c r="G127" s="34"/>
      <c r="H127" s="34"/>
      <c r="I127" s="34"/>
      <c r="J127" s="34"/>
      <c r="K127" s="105"/>
    </row>
    <row r="128" spans="1:11" x14ac:dyDescent="0.2">
      <c r="A128" s="99">
        <v>731</v>
      </c>
      <c r="B128" s="100"/>
      <c r="C128" s="101" t="s">
        <v>563</v>
      </c>
      <c r="D128" s="102" t="s">
        <v>564</v>
      </c>
      <c r="E128" s="31">
        <f>E129+E130</f>
        <v>10000000</v>
      </c>
      <c r="F128" s="31">
        <f>F129+F130</f>
        <v>139130</v>
      </c>
      <c r="G128" s="31">
        <f>G129+G130</f>
        <v>0</v>
      </c>
      <c r="H128" s="31">
        <f>H129+H130</f>
        <v>0</v>
      </c>
      <c r="I128" s="31">
        <f>I129+I130</f>
        <v>0</v>
      </c>
      <c r="J128" s="31">
        <f>E128+F128+G128+H128</f>
        <v>10139130</v>
      </c>
      <c r="K128" s="103">
        <f>J128/J$143*100</f>
        <v>0.21386080348112577</v>
      </c>
    </row>
    <row r="129" spans="1:11" x14ac:dyDescent="0.2">
      <c r="A129" s="99">
        <v>7310</v>
      </c>
      <c r="B129" s="100"/>
      <c r="C129" s="101" t="s">
        <v>565</v>
      </c>
      <c r="D129" s="102" t="s">
        <v>566</v>
      </c>
      <c r="E129" s="31">
        <v>9000000</v>
      </c>
      <c r="F129" s="31">
        <v>139130</v>
      </c>
      <c r="G129" s="31">
        <v>0</v>
      </c>
      <c r="H129" s="31">
        <v>0</v>
      </c>
      <c r="I129" s="31">
        <v>0</v>
      </c>
      <c r="J129" s="31">
        <f>E129+F129+G129+H129</f>
        <v>9139130</v>
      </c>
      <c r="K129" s="103">
        <f>J129/J$143*100</f>
        <v>0.192768184737592</v>
      </c>
    </row>
    <row r="130" spans="1:11" x14ac:dyDescent="0.2">
      <c r="A130" s="99">
        <v>7311</v>
      </c>
      <c r="B130" s="100"/>
      <c r="C130" s="101" t="s">
        <v>567</v>
      </c>
      <c r="D130" s="102" t="s">
        <v>568</v>
      </c>
      <c r="E130" s="31">
        <v>1000000</v>
      </c>
      <c r="F130" s="31">
        <v>0</v>
      </c>
      <c r="G130" s="31">
        <v>0</v>
      </c>
      <c r="H130" s="31">
        <v>0</v>
      </c>
      <c r="I130" s="31">
        <v>0</v>
      </c>
      <c r="J130" s="31">
        <f>E130+F130+G130+H130</f>
        <v>1000000</v>
      </c>
      <c r="K130" s="103">
        <f>J130/J$143*100</f>
        <v>2.1092618743533794E-2</v>
      </c>
    </row>
    <row r="131" spans="1:11" x14ac:dyDescent="0.2">
      <c r="A131" s="82"/>
      <c r="B131" s="94"/>
      <c r="C131" s="95"/>
      <c r="D131" s="98"/>
      <c r="E131" s="86"/>
      <c r="F131" s="86"/>
      <c r="G131" s="86"/>
      <c r="H131" s="86"/>
      <c r="I131" s="86"/>
      <c r="J131" s="86"/>
      <c r="K131" s="87"/>
    </row>
    <row r="132" spans="1:11" ht="15.75" x14ac:dyDescent="0.25">
      <c r="A132" s="69">
        <v>74</v>
      </c>
      <c r="B132" s="70"/>
      <c r="C132" s="77" t="s">
        <v>569</v>
      </c>
      <c r="D132" s="91" t="s">
        <v>570</v>
      </c>
      <c r="E132" s="73">
        <f>E134</f>
        <v>5000</v>
      </c>
      <c r="F132" s="73">
        <f>F134</f>
        <v>52753069</v>
      </c>
      <c r="G132" s="73">
        <f>G134</f>
        <v>194613576.5</v>
      </c>
      <c r="H132" s="73">
        <f>H134</f>
        <v>55418397.494000003</v>
      </c>
      <c r="I132" s="73">
        <f>I134</f>
        <v>295482442.99399996</v>
      </c>
      <c r="J132" s="73">
        <f>E132+F132+G132+H132-I132</f>
        <v>7307600.0000000596</v>
      </c>
      <c r="K132" s="92">
        <f>J132/J$143*100</f>
        <v>0.1541364207302488</v>
      </c>
    </row>
    <row r="133" spans="1:11" ht="15.75" x14ac:dyDescent="0.25">
      <c r="A133" s="69"/>
      <c r="B133" s="70"/>
      <c r="C133" s="112"/>
      <c r="D133" s="97" t="s">
        <v>462</v>
      </c>
      <c r="E133" s="113"/>
      <c r="F133" s="113"/>
      <c r="G133" s="113"/>
      <c r="H133" s="113"/>
      <c r="I133" s="113"/>
      <c r="J133" s="113"/>
      <c r="K133" s="87"/>
    </row>
    <row r="134" spans="1:11" x14ac:dyDescent="0.2">
      <c r="A134" s="106">
        <v>740</v>
      </c>
      <c r="B134" s="107"/>
      <c r="C134" s="108" t="s">
        <v>571</v>
      </c>
      <c r="D134" s="102" t="s">
        <v>572</v>
      </c>
      <c r="E134" s="109">
        <f>E136+E137+E138+E139</f>
        <v>5000</v>
      </c>
      <c r="F134" s="109">
        <f>F136+F137+F138+F139</f>
        <v>52753069</v>
      </c>
      <c r="G134" s="109">
        <f>G136+G137+G138+G139</f>
        <v>194613576.5</v>
      </c>
      <c r="H134" s="109">
        <f>H136+H137+H138+H139</f>
        <v>55418397.494000003</v>
      </c>
      <c r="I134" s="109">
        <f>I136+I137+I138+I139</f>
        <v>295482442.99399996</v>
      </c>
      <c r="J134" s="109">
        <f>E134+F134+G134+H134-I134</f>
        <v>7307600.0000000596</v>
      </c>
      <c r="K134" s="103">
        <f>J134/J$143*100</f>
        <v>0.1541364207302488</v>
      </c>
    </row>
    <row r="135" spans="1:11" x14ac:dyDescent="0.2">
      <c r="A135" s="114"/>
      <c r="B135" s="115"/>
      <c r="C135" s="112" t="s">
        <v>573</v>
      </c>
      <c r="D135" s="97" t="s">
        <v>574</v>
      </c>
      <c r="E135" s="116"/>
      <c r="F135" s="116"/>
      <c r="G135" s="116"/>
      <c r="H135" s="116"/>
      <c r="I135" s="116"/>
      <c r="J135" s="116"/>
      <c r="K135" s="105"/>
    </row>
    <row r="136" spans="1:11" x14ac:dyDescent="0.2">
      <c r="A136" s="106">
        <v>7400</v>
      </c>
      <c r="B136" s="107"/>
      <c r="C136" s="108" t="s">
        <v>575</v>
      </c>
      <c r="D136" s="102" t="s">
        <v>576</v>
      </c>
      <c r="E136" s="109">
        <v>0</v>
      </c>
      <c r="F136" s="109">
        <v>49572369</v>
      </c>
      <c r="G136" s="117">
        <v>186013641</v>
      </c>
      <c r="H136" s="118">
        <v>4195564.4939999999</v>
      </c>
      <c r="I136" s="109">
        <f>E136+F136+G136+H136+500000</f>
        <v>240281574.49399999</v>
      </c>
      <c r="J136" s="109">
        <f>E136+F136+G136+H136-I136</f>
        <v>-500000</v>
      </c>
      <c r="K136" s="104"/>
    </row>
    <row r="137" spans="1:11" x14ac:dyDescent="0.2">
      <c r="A137" s="106">
        <v>7401</v>
      </c>
      <c r="B137" s="107"/>
      <c r="C137" s="108" t="s">
        <v>577</v>
      </c>
      <c r="D137" s="102" t="s">
        <v>578</v>
      </c>
      <c r="E137" s="109">
        <v>0</v>
      </c>
      <c r="F137" s="109">
        <v>1672200</v>
      </c>
      <c r="G137" s="109">
        <v>0</v>
      </c>
      <c r="H137" s="118">
        <v>2386064</v>
      </c>
      <c r="I137" s="109">
        <f>E137+F137+G137+H137</f>
        <v>4058264</v>
      </c>
      <c r="J137" s="109">
        <f>E137+F137+G137+H137-I137</f>
        <v>0</v>
      </c>
      <c r="K137" s="104"/>
    </row>
    <row r="138" spans="1:11" x14ac:dyDescent="0.2">
      <c r="A138" s="106">
        <v>7402</v>
      </c>
      <c r="B138" s="107"/>
      <c r="C138" s="108" t="s">
        <v>579</v>
      </c>
      <c r="D138" s="102" t="s">
        <v>580</v>
      </c>
      <c r="E138" s="109">
        <v>5000</v>
      </c>
      <c r="F138" s="109">
        <v>75900</v>
      </c>
      <c r="G138" s="119">
        <v>2224935.5</v>
      </c>
      <c r="H138" s="109">
        <v>48836769</v>
      </c>
      <c r="I138" s="109">
        <f>E138+F138+G138+H138</f>
        <v>51142604.5</v>
      </c>
      <c r="J138" s="109">
        <f>E138+F138+G138+H138-I138</f>
        <v>0</v>
      </c>
      <c r="K138" s="104"/>
    </row>
    <row r="139" spans="1:11" x14ac:dyDescent="0.2">
      <c r="A139" s="106">
        <v>7403</v>
      </c>
      <c r="B139" s="107"/>
      <c r="C139" s="108" t="s">
        <v>581</v>
      </c>
      <c r="D139" s="102" t="s">
        <v>582</v>
      </c>
      <c r="E139" s="109">
        <v>0</v>
      </c>
      <c r="F139" s="109">
        <v>1432600</v>
      </c>
      <c r="G139" s="119">
        <v>6375000</v>
      </c>
      <c r="H139" s="109">
        <v>0</v>
      </c>
      <c r="I139" s="109">
        <v>0</v>
      </c>
      <c r="J139" s="109">
        <f>E139+F139+G139+H139-I139</f>
        <v>7807600</v>
      </c>
      <c r="K139" s="103">
        <f>J139/J$143*100</f>
        <v>0.16468273010201445</v>
      </c>
    </row>
    <row r="140" spans="1:11" ht="15.75" thickBot="1" x14ac:dyDescent="0.25">
      <c r="A140" s="120"/>
      <c r="B140" s="121"/>
      <c r="C140" s="122"/>
      <c r="D140" s="123"/>
      <c r="E140" s="124"/>
      <c r="F140" s="124"/>
      <c r="G140" s="124"/>
      <c r="H140" s="124"/>
      <c r="I140" s="124"/>
      <c r="J140" s="124"/>
      <c r="K140" s="125"/>
    </row>
    <row r="141" spans="1:11" ht="15.75" thickTop="1" x14ac:dyDescent="0.2">
      <c r="A141" s="126"/>
      <c r="B141" s="126"/>
      <c r="C141" s="127"/>
      <c r="D141" s="127"/>
      <c r="E141" s="128"/>
      <c r="F141" s="128"/>
      <c r="G141" s="128"/>
      <c r="H141" s="128"/>
      <c r="I141" s="128"/>
      <c r="J141" s="128"/>
      <c r="K141" s="128"/>
    </row>
    <row r="142" spans="1:11" ht="16.5" thickBot="1" x14ac:dyDescent="0.3">
      <c r="A142" s="53"/>
      <c r="B142" s="53"/>
      <c r="C142" s="54"/>
      <c r="D142" s="54"/>
      <c r="E142" s="129"/>
      <c r="F142" s="129"/>
      <c r="G142" s="129"/>
      <c r="H142" s="129"/>
      <c r="I142" s="129"/>
      <c r="J142" s="130"/>
      <c r="K142" s="130"/>
    </row>
    <row r="143" spans="1:11" ht="19.5" thickTop="1" thickBot="1" x14ac:dyDescent="0.3">
      <c r="A143" s="53" t="s">
        <v>866</v>
      </c>
      <c r="B143" s="53"/>
      <c r="C143" s="131" t="s">
        <v>583</v>
      </c>
      <c r="D143" s="131"/>
      <c r="E143" s="132"/>
      <c r="F143" s="132"/>
      <c r="G143" s="132"/>
      <c r="H143" s="132"/>
      <c r="I143" s="132"/>
      <c r="J143" s="133">
        <v>4740995000</v>
      </c>
      <c r="K143" s="134"/>
    </row>
    <row r="144" spans="1:11" ht="17.25" thickTop="1" thickBot="1" x14ac:dyDescent="0.3">
      <c r="A144" s="53"/>
      <c r="B144" s="53"/>
      <c r="C144" s="54"/>
      <c r="D144" s="54"/>
      <c r="E144" s="10"/>
      <c r="F144" s="10"/>
      <c r="G144" s="10"/>
      <c r="H144" s="10"/>
      <c r="I144" s="134"/>
      <c r="J144" s="10"/>
      <c r="K144" s="10"/>
    </row>
    <row r="145" spans="1:11" ht="16.5" thickTop="1" thickBot="1" x14ac:dyDescent="0.25">
      <c r="A145" s="135"/>
      <c r="B145" s="136"/>
      <c r="C145" s="137"/>
      <c r="D145" s="138"/>
      <c r="E145" s="139"/>
      <c r="F145" s="139"/>
      <c r="G145" s="139"/>
      <c r="H145" s="139"/>
      <c r="I145" s="139"/>
      <c r="J145" s="140"/>
      <c r="K145" s="141"/>
    </row>
    <row r="146" spans="1:11" s="6" customFormat="1" ht="17.25" thickTop="1" thickBot="1" x14ac:dyDescent="0.3">
      <c r="A146" s="69"/>
      <c r="B146" s="70" t="s">
        <v>83</v>
      </c>
      <c r="C146" s="77" t="s">
        <v>585</v>
      </c>
      <c r="D146" s="142"/>
      <c r="E146" s="73">
        <f>E149+E212+E254+E268</f>
        <v>1210375860.5</v>
      </c>
      <c r="F146" s="73">
        <f>F149+F212+F254+F268</f>
        <v>234651227.90000001</v>
      </c>
      <c r="G146" s="73">
        <f>G149+G212+G254+G268</f>
        <v>645230474</v>
      </c>
      <c r="H146" s="73">
        <f>H149+H212+H254+H268</f>
        <v>305772044.44477695</v>
      </c>
      <c r="I146" s="74">
        <f>I149+I212+I254+I268</f>
        <v>377560015.89999998</v>
      </c>
      <c r="J146" s="75">
        <f>E146+F146+G146+H146-I146</f>
        <v>2018469590.944777</v>
      </c>
      <c r="K146" s="76">
        <f>J146/J$143*100</f>
        <v>42.574809527214796</v>
      </c>
    </row>
    <row r="147" spans="1:11" s="6" customFormat="1" ht="16.5" thickTop="1" x14ac:dyDescent="0.25">
      <c r="A147" s="69"/>
      <c r="B147" s="70"/>
      <c r="C147" s="77" t="s">
        <v>587</v>
      </c>
      <c r="D147" s="142"/>
      <c r="E147" s="143"/>
      <c r="F147" s="73"/>
      <c r="G147" s="73"/>
      <c r="H147" s="73"/>
      <c r="I147" s="73"/>
      <c r="J147" s="80">
        <f>+E146+F146+G146+H146-I146-J146</f>
        <v>0</v>
      </c>
      <c r="K147" s="144"/>
    </row>
    <row r="148" spans="1:11" x14ac:dyDescent="0.2">
      <c r="A148" s="82"/>
      <c r="B148" s="94"/>
      <c r="C148" s="95"/>
      <c r="D148" s="145"/>
      <c r="E148" s="34"/>
      <c r="F148" s="34"/>
      <c r="G148" s="34"/>
      <c r="H148" s="34"/>
      <c r="I148" s="34"/>
      <c r="J148" s="34"/>
      <c r="K148" s="105"/>
    </row>
    <row r="149" spans="1:11" ht="15.75" x14ac:dyDescent="0.25">
      <c r="A149" s="88">
        <v>40</v>
      </c>
      <c r="B149" s="89"/>
      <c r="C149" s="90" t="s">
        <v>588</v>
      </c>
      <c r="D149" s="146"/>
      <c r="E149" s="32">
        <f>E152+E165+E175+E193+E200+E207</f>
        <v>627189867</v>
      </c>
      <c r="F149" s="32">
        <f>F152+F165+F175+F193+F200+F207</f>
        <v>94114602.799999997</v>
      </c>
      <c r="G149" s="32">
        <f>G152+G165+G175+G193+G200+G207</f>
        <v>10356720</v>
      </c>
      <c r="H149" s="32">
        <f>H152+H165+H175+H193+H200+H207</f>
        <v>270258637</v>
      </c>
      <c r="I149" s="32">
        <f>+I165+I175</f>
        <v>79308263.5</v>
      </c>
      <c r="J149" s="32">
        <f>E149+F149+G149+H149-I149</f>
        <v>922611563.29999995</v>
      </c>
      <c r="K149" s="92">
        <f>J149/J$143*100</f>
        <v>19.460293953062592</v>
      </c>
    </row>
    <row r="150" spans="1:11" x14ac:dyDescent="0.2">
      <c r="A150" s="147"/>
      <c r="B150" s="148"/>
      <c r="C150" s="96" t="s">
        <v>816</v>
      </c>
      <c r="D150" s="145"/>
      <c r="E150" s="34"/>
      <c r="F150" s="34"/>
      <c r="G150" s="34"/>
      <c r="H150" s="34"/>
      <c r="I150" s="34"/>
      <c r="J150" s="34"/>
      <c r="K150" s="105"/>
    </row>
    <row r="151" spans="1:11" x14ac:dyDescent="0.2">
      <c r="A151" s="82"/>
      <c r="B151" s="94"/>
      <c r="C151" s="95"/>
      <c r="D151" s="145"/>
      <c r="E151" s="34"/>
      <c r="F151" s="34"/>
      <c r="G151" s="34"/>
      <c r="H151" s="34"/>
      <c r="I151" s="34"/>
      <c r="J151" s="34"/>
      <c r="K151" s="105"/>
    </row>
    <row r="152" spans="1:11" s="5" customFormat="1" x14ac:dyDescent="0.2">
      <c r="A152" s="99"/>
      <c r="B152" s="100"/>
      <c r="C152" s="101" t="s">
        <v>817</v>
      </c>
      <c r="D152" s="149"/>
      <c r="E152" s="31">
        <f>+E154+E163</f>
        <v>312145453</v>
      </c>
      <c r="F152" s="31">
        <f>+F154+F163</f>
        <v>31278047.399999999</v>
      </c>
      <c r="G152" s="31">
        <f>+G154+G163</f>
        <v>2527524</v>
      </c>
      <c r="H152" s="31">
        <f>+H154+H163</f>
        <v>108054621.5</v>
      </c>
      <c r="I152" s="31">
        <f>+I154+I163</f>
        <v>0</v>
      </c>
      <c r="J152" s="31">
        <f>E152+F152+G152+H152-I152</f>
        <v>454005645.89999998</v>
      </c>
      <c r="K152" s="103">
        <f>J152/J$143*100</f>
        <v>9.5761679963805069</v>
      </c>
    </row>
    <row r="153" spans="1:11" x14ac:dyDescent="0.2">
      <c r="A153" s="82"/>
      <c r="B153" s="94"/>
      <c r="C153" s="96"/>
      <c r="D153" s="145"/>
      <c r="E153" s="86"/>
      <c r="F153" s="86"/>
      <c r="G153" s="86"/>
      <c r="H153" s="86"/>
      <c r="I153" s="86"/>
      <c r="J153" s="86"/>
      <c r="K153" s="110"/>
    </row>
    <row r="154" spans="1:11" x14ac:dyDescent="0.2">
      <c r="A154" s="99">
        <v>400</v>
      </c>
      <c r="B154" s="100"/>
      <c r="C154" s="101" t="s">
        <v>818</v>
      </c>
      <c r="D154" s="149"/>
      <c r="E154" s="31">
        <f>SUM(E155:E161)</f>
        <v>136460844</v>
      </c>
      <c r="F154" s="31">
        <v>13410502</v>
      </c>
      <c r="G154" s="31">
        <v>2527524</v>
      </c>
      <c r="H154" s="31">
        <v>3629761</v>
      </c>
      <c r="I154" s="31">
        <f>SUM(I155:I161)</f>
        <v>0</v>
      </c>
      <c r="J154" s="31">
        <f>E154+F154+G154+H154-I154</f>
        <v>156028631</v>
      </c>
      <c r="K154" s="103">
        <f>J154/J$143*100</f>
        <v>3.2910524267585179</v>
      </c>
    </row>
    <row r="155" spans="1:11" x14ac:dyDescent="0.2">
      <c r="A155" s="99">
        <v>4000</v>
      </c>
      <c r="B155" s="100"/>
      <c r="C155" s="101" t="s">
        <v>593</v>
      </c>
      <c r="D155" s="149"/>
      <c r="E155" s="31">
        <v>116132638</v>
      </c>
      <c r="F155" s="202" t="s">
        <v>845</v>
      </c>
      <c r="G155" s="202" t="s">
        <v>845</v>
      </c>
      <c r="H155" s="202" t="s">
        <v>845</v>
      </c>
      <c r="I155" s="202" t="s">
        <v>845</v>
      </c>
      <c r="J155" s="202" t="s">
        <v>845</v>
      </c>
      <c r="K155" s="103"/>
    </row>
    <row r="156" spans="1:11" x14ac:dyDescent="0.2">
      <c r="A156" s="99">
        <v>4001</v>
      </c>
      <c r="B156" s="100"/>
      <c r="C156" s="101" t="s">
        <v>595</v>
      </c>
      <c r="D156" s="149"/>
      <c r="E156" s="31">
        <v>4069572</v>
      </c>
      <c r="F156" s="202" t="s">
        <v>845</v>
      </c>
      <c r="G156" s="202" t="s">
        <v>845</v>
      </c>
      <c r="H156" s="202" t="s">
        <v>845</v>
      </c>
      <c r="I156" s="202" t="s">
        <v>845</v>
      </c>
      <c r="J156" s="202" t="s">
        <v>845</v>
      </c>
      <c r="K156" s="103"/>
    </row>
    <row r="157" spans="1:11" x14ac:dyDescent="0.2">
      <c r="A157" s="99">
        <v>4002</v>
      </c>
      <c r="B157" s="100"/>
      <c r="C157" s="101" t="s">
        <v>597</v>
      </c>
      <c r="D157" s="149"/>
      <c r="E157" s="31">
        <v>10312315</v>
      </c>
      <c r="F157" s="202" t="s">
        <v>845</v>
      </c>
      <c r="G157" s="202" t="s">
        <v>845</v>
      </c>
      <c r="H157" s="202" t="s">
        <v>845</v>
      </c>
      <c r="I157" s="202" t="s">
        <v>845</v>
      </c>
      <c r="J157" s="202" t="s">
        <v>845</v>
      </c>
      <c r="K157" s="103"/>
    </row>
    <row r="158" spans="1:11" x14ac:dyDescent="0.2">
      <c r="A158" s="99">
        <v>4003</v>
      </c>
      <c r="B158" s="100"/>
      <c r="C158" s="101" t="s">
        <v>599</v>
      </c>
      <c r="D158" s="149"/>
      <c r="E158" s="31">
        <v>2875420</v>
      </c>
      <c r="F158" s="202" t="s">
        <v>845</v>
      </c>
      <c r="G158" s="202" t="s">
        <v>845</v>
      </c>
      <c r="H158" s="202" t="s">
        <v>845</v>
      </c>
      <c r="I158" s="202" t="s">
        <v>845</v>
      </c>
      <c r="J158" s="202" t="s">
        <v>845</v>
      </c>
      <c r="K158" s="103"/>
    </row>
    <row r="159" spans="1:11" x14ac:dyDescent="0.2">
      <c r="A159" s="99">
        <v>4004</v>
      </c>
      <c r="B159" s="100"/>
      <c r="C159" s="101" t="s">
        <v>601</v>
      </c>
      <c r="D159" s="149"/>
      <c r="E159" s="31">
        <v>1889101</v>
      </c>
      <c r="F159" s="202" t="s">
        <v>845</v>
      </c>
      <c r="G159" s="202" t="s">
        <v>845</v>
      </c>
      <c r="H159" s="202" t="s">
        <v>845</v>
      </c>
      <c r="I159" s="202" t="s">
        <v>845</v>
      </c>
      <c r="J159" s="202" t="s">
        <v>845</v>
      </c>
      <c r="K159" s="103"/>
    </row>
    <row r="160" spans="1:11" x14ac:dyDescent="0.2">
      <c r="A160" s="99">
        <v>4005</v>
      </c>
      <c r="B160" s="100"/>
      <c r="C160" s="101" t="s">
        <v>603</v>
      </c>
      <c r="D160" s="149"/>
      <c r="E160" s="31">
        <v>21891</v>
      </c>
      <c r="F160" s="202" t="s">
        <v>845</v>
      </c>
      <c r="G160" s="202" t="s">
        <v>845</v>
      </c>
      <c r="H160" s="202" t="s">
        <v>845</v>
      </c>
      <c r="I160" s="202" t="s">
        <v>845</v>
      </c>
      <c r="J160" s="202" t="s">
        <v>845</v>
      </c>
      <c r="K160" s="103"/>
    </row>
    <row r="161" spans="1:11" x14ac:dyDescent="0.2">
      <c r="A161" s="99">
        <v>4009</v>
      </c>
      <c r="B161" s="100"/>
      <c r="C161" s="101" t="s">
        <v>605</v>
      </c>
      <c r="D161" s="149"/>
      <c r="E161" s="31">
        <v>1159907</v>
      </c>
      <c r="F161" s="202" t="s">
        <v>845</v>
      </c>
      <c r="G161" s="202" t="s">
        <v>845</v>
      </c>
      <c r="H161" s="202" t="s">
        <v>845</v>
      </c>
      <c r="I161" s="202" t="s">
        <v>845</v>
      </c>
      <c r="J161" s="202" t="s">
        <v>845</v>
      </c>
      <c r="K161" s="103"/>
    </row>
    <row r="162" spans="1:11" x14ac:dyDescent="0.2">
      <c r="A162" s="82"/>
      <c r="B162" s="94"/>
      <c r="C162" s="95"/>
      <c r="D162" s="145"/>
      <c r="E162" s="34"/>
      <c r="F162" s="34"/>
      <c r="G162" s="34"/>
      <c r="H162" s="86">
        <f>+H163+H173+H191</f>
        <v>261122038</v>
      </c>
      <c r="I162" s="34"/>
      <c r="J162" s="34"/>
      <c r="K162" s="110"/>
    </row>
    <row r="163" spans="1:11" s="5" customFormat="1" x14ac:dyDescent="0.2">
      <c r="A163" s="99">
        <v>413300</v>
      </c>
      <c r="B163" s="100"/>
      <c r="C163" s="101" t="s">
        <v>819</v>
      </c>
      <c r="D163" s="149"/>
      <c r="E163" s="31">
        <v>175684609</v>
      </c>
      <c r="F163" s="31">
        <v>17867545.399999999</v>
      </c>
      <c r="G163" s="31">
        <v>0</v>
      </c>
      <c r="H163" s="31">
        <v>104424860.5</v>
      </c>
      <c r="I163" s="31">
        <v>0</v>
      </c>
      <c r="J163" s="31">
        <f>E163+F163+G163+H163-I163</f>
        <v>297977014.89999998</v>
      </c>
      <c r="K163" s="103">
        <f>J163/J$143*100</f>
        <v>6.285115569621988</v>
      </c>
    </row>
    <row r="164" spans="1:11" x14ac:dyDescent="0.2">
      <c r="A164" s="82"/>
      <c r="B164" s="94"/>
      <c r="C164" s="95"/>
      <c r="D164" s="145"/>
      <c r="E164" s="34"/>
      <c r="F164" s="34"/>
      <c r="G164" s="34"/>
      <c r="H164" s="34"/>
      <c r="I164" s="34"/>
      <c r="J164" s="34"/>
      <c r="K164" s="150"/>
    </row>
    <row r="165" spans="1:11" x14ac:dyDescent="0.2">
      <c r="A165" s="151"/>
      <c r="B165" s="115"/>
      <c r="C165" s="112" t="s">
        <v>820</v>
      </c>
      <c r="D165" s="152"/>
      <c r="E165" s="113">
        <f>+E167+E173</f>
        <v>52913059</v>
      </c>
      <c r="F165" s="113">
        <f>+F167+F173</f>
        <v>4155758</v>
      </c>
      <c r="G165" s="113">
        <f>+G167+G173</f>
        <v>355443</v>
      </c>
      <c r="H165" s="113">
        <f>+H167+H173</f>
        <v>21884003.5</v>
      </c>
      <c r="I165" s="113">
        <f>+I167+I173</f>
        <v>79308263.5</v>
      </c>
      <c r="J165" s="113">
        <f>E165+F165+G165+H165-I165</f>
        <v>0</v>
      </c>
      <c r="K165" s="110"/>
    </row>
    <row r="166" spans="1:11" x14ac:dyDescent="0.2">
      <c r="A166" s="151"/>
      <c r="B166" s="115"/>
      <c r="C166" s="112"/>
      <c r="D166" s="152"/>
      <c r="E166" s="113"/>
      <c r="F166" s="113"/>
      <c r="G166" s="113"/>
      <c r="H166" s="113"/>
      <c r="I166" s="113"/>
      <c r="J166" s="113"/>
      <c r="K166" s="110"/>
    </row>
    <row r="167" spans="1:11" x14ac:dyDescent="0.2">
      <c r="A167" s="106">
        <v>401</v>
      </c>
      <c r="B167" s="107"/>
      <c r="C167" s="108" t="s">
        <v>832</v>
      </c>
      <c r="D167" s="153"/>
      <c r="E167" s="109">
        <f>SUM(E168:E171)</f>
        <v>21982281</v>
      </c>
      <c r="F167" s="109">
        <f>SUM(F168:F171)</f>
        <v>1874149</v>
      </c>
      <c r="G167" s="109">
        <f>SUM(G168:G171)</f>
        <v>355443</v>
      </c>
      <c r="H167" s="109">
        <f>SUM(H168:H171)</f>
        <v>538355</v>
      </c>
      <c r="I167" s="109">
        <f>SUM(I168:I171)</f>
        <v>24750228</v>
      </c>
      <c r="J167" s="109">
        <f>E167+F167+G167+H167-I167</f>
        <v>0</v>
      </c>
      <c r="K167" s="103"/>
    </row>
    <row r="168" spans="1:11" x14ac:dyDescent="0.2">
      <c r="A168" s="106">
        <v>4010</v>
      </c>
      <c r="B168" s="107"/>
      <c r="C168" s="108" t="s">
        <v>608</v>
      </c>
      <c r="D168" s="153"/>
      <c r="E168" s="109">
        <v>13634412</v>
      </c>
      <c r="F168" s="109">
        <v>1180714</v>
      </c>
      <c r="G168" s="109">
        <v>197841</v>
      </c>
      <c r="H168" s="109">
        <v>299278</v>
      </c>
      <c r="I168" s="109">
        <f>E168+F168+G168+H168</f>
        <v>15312245</v>
      </c>
      <c r="J168" s="109">
        <f>E168+F168+G168+H168-I168</f>
        <v>0</v>
      </c>
      <c r="K168" s="104"/>
    </row>
    <row r="169" spans="1:11" x14ac:dyDescent="0.2">
      <c r="A169" s="106">
        <v>4011</v>
      </c>
      <c r="B169" s="107"/>
      <c r="C169" s="108" t="s">
        <v>613</v>
      </c>
      <c r="D169" s="153"/>
      <c r="E169" s="109">
        <v>8158250</v>
      </c>
      <c r="F169" s="109">
        <v>670945</v>
      </c>
      <c r="G169" s="109">
        <v>154027</v>
      </c>
      <c r="H169" s="109">
        <v>233689</v>
      </c>
      <c r="I169" s="109">
        <f>E169+F169+G169+H169</f>
        <v>9216911</v>
      </c>
      <c r="J169" s="109">
        <f>E169+F169+G169+H169-I169</f>
        <v>0</v>
      </c>
      <c r="K169" s="104"/>
    </row>
    <row r="170" spans="1:11" x14ac:dyDescent="0.2">
      <c r="A170" s="106">
        <v>4012</v>
      </c>
      <c r="B170" s="107"/>
      <c r="C170" s="108" t="s">
        <v>615</v>
      </c>
      <c r="D170" s="153"/>
      <c r="E170" s="109">
        <v>71149</v>
      </c>
      <c r="F170" s="109">
        <v>10308</v>
      </c>
      <c r="G170" s="109">
        <v>1340</v>
      </c>
      <c r="H170" s="109">
        <v>2021</v>
      </c>
      <c r="I170" s="109">
        <f>E170+F170+G170+H170</f>
        <v>84818</v>
      </c>
      <c r="J170" s="109">
        <f>E170+F170+G170+H170-I170</f>
        <v>0</v>
      </c>
      <c r="K170" s="104"/>
    </row>
    <row r="171" spans="1:11" x14ac:dyDescent="0.2">
      <c r="A171" s="106">
        <v>4013</v>
      </c>
      <c r="B171" s="107"/>
      <c r="C171" s="108" t="s">
        <v>617</v>
      </c>
      <c r="D171" s="153"/>
      <c r="E171" s="109">
        <v>118470</v>
      </c>
      <c r="F171" s="109">
        <v>12182</v>
      </c>
      <c r="G171" s="109">
        <v>2235</v>
      </c>
      <c r="H171" s="109">
        <v>3367</v>
      </c>
      <c r="I171" s="109">
        <f>E171+F171+G171+H171</f>
        <v>136254</v>
      </c>
      <c r="J171" s="109">
        <f>E171+F171+G171+H171-I171</f>
        <v>0</v>
      </c>
      <c r="K171" s="104"/>
    </row>
    <row r="172" spans="1:11" x14ac:dyDescent="0.2">
      <c r="A172" s="114"/>
      <c r="B172" s="115"/>
      <c r="C172" s="154"/>
      <c r="D172" s="152"/>
      <c r="E172" s="116"/>
      <c r="F172" s="116"/>
      <c r="G172" s="116"/>
      <c r="H172" s="116"/>
      <c r="I172" s="116"/>
      <c r="J172" s="116"/>
      <c r="K172" s="105"/>
    </row>
    <row r="173" spans="1:11" x14ac:dyDescent="0.2">
      <c r="A173" s="106">
        <v>413301</v>
      </c>
      <c r="B173" s="107"/>
      <c r="C173" s="108" t="s">
        <v>821</v>
      </c>
      <c r="D173" s="153"/>
      <c r="E173" s="109">
        <v>30930778</v>
      </c>
      <c r="F173" s="109">
        <v>2281609</v>
      </c>
      <c r="G173" s="109">
        <v>0</v>
      </c>
      <c r="H173" s="109">
        <v>21345648.5</v>
      </c>
      <c r="I173" s="109">
        <f>E173+F173+G173+H173</f>
        <v>54558035.5</v>
      </c>
      <c r="J173" s="109">
        <f>E173+F173+G173+H173-I173</f>
        <v>0</v>
      </c>
      <c r="K173" s="104"/>
    </row>
    <row r="174" spans="1:11" x14ac:dyDescent="0.2">
      <c r="A174" s="82"/>
      <c r="B174" s="94"/>
      <c r="C174" s="95"/>
      <c r="D174" s="145"/>
      <c r="E174" s="34"/>
      <c r="F174" s="34"/>
      <c r="G174" s="34"/>
      <c r="H174" s="34"/>
      <c r="I174" s="34"/>
      <c r="J174" s="34"/>
      <c r="K174" s="105"/>
    </row>
    <row r="175" spans="1:11" s="5" customFormat="1" x14ac:dyDescent="0.2">
      <c r="A175" s="99"/>
      <c r="B175" s="100"/>
      <c r="C175" s="101" t="s">
        <v>822</v>
      </c>
      <c r="D175" s="149"/>
      <c r="E175" s="31">
        <f t="shared" ref="E175:J175" si="14">+E177+E191</f>
        <v>181046899</v>
      </c>
      <c r="F175" s="31">
        <f t="shared" si="14"/>
        <v>56751140.399999999</v>
      </c>
      <c r="G175" s="31">
        <f t="shared" si="14"/>
        <v>4773753</v>
      </c>
      <c r="H175" s="31">
        <f t="shared" si="14"/>
        <v>140320012</v>
      </c>
      <c r="I175" s="31">
        <f t="shared" si="14"/>
        <v>0</v>
      </c>
      <c r="J175" s="31">
        <f t="shared" si="14"/>
        <v>382891804.39999998</v>
      </c>
      <c r="K175" s="103">
        <f>J175/J$143*100</f>
        <v>8.0761908502329138</v>
      </c>
    </row>
    <row r="176" spans="1:11" x14ac:dyDescent="0.2">
      <c r="A176" s="82"/>
      <c r="B176" s="94"/>
      <c r="C176" s="96"/>
      <c r="D176" s="145"/>
      <c r="E176" s="86"/>
      <c r="F176" s="86"/>
      <c r="G176" s="86"/>
      <c r="H176" s="86"/>
      <c r="I176" s="86"/>
      <c r="J176" s="86"/>
      <c r="K176" s="110"/>
    </row>
    <row r="177" spans="1:11" x14ac:dyDescent="0.2">
      <c r="A177" s="99">
        <v>402</v>
      </c>
      <c r="B177" s="100"/>
      <c r="C177" s="101" t="s">
        <v>833</v>
      </c>
      <c r="D177" s="149"/>
      <c r="E177" s="31">
        <f>SUM(E178:E188)</f>
        <v>137413219</v>
      </c>
      <c r="F177" s="31">
        <f>SUM(F178:F188)</f>
        <v>34155546.399999999</v>
      </c>
      <c r="G177" s="31">
        <v>4773753</v>
      </c>
      <c r="H177" s="31">
        <v>4968483</v>
      </c>
      <c r="I177" s="31">
        <f>SUM(I178:I188)</f>
        <v>0</v>
      </c>
      <c r="J177" s="31">
        <f>E177+F177+G177+H177-I177</f>
        <v>181311001.40000001</v>
      </c>
      <c r="K177" s="103">
        <f>J177/J$143*100</f>
        <v>3.8243238265385218</v>
      </c>
    </row>
    <row r="178" spans="1:11" x14ac:dyDescent="0.2">
      <c r="A178" s="99">
        <v>4020</v>
      </c>
      <c r="B178" s="100"/>
      <c r="C178" s="101" t="s">
        <v>937</v>
      </c>
      <c r="D178" s="149"/>
      <c r="E178" s="31">
        <v>19618452</v>
      </c>
      <c r="F178" s="31">
        <v>4869192</v>
      </c>
      <c r="G178" s="202" t="s">
        <v>845</v>
      </c>
      <c r="H178" s="202" t="s">
        <v>845</v>
      </c>
      <c r="I178" s="202" t="s">
        <v>845</v>
      </c>
      <c r="J178" s="202" t="s">
        <v>845</v>
      </c>
      <c r="K178" s="155"/>
    </row>
    <row r="179" spans="1:11" x14ac:dyDescent="0.2">
      <c r="A179" s="99">
        <v>4021</v>
      </c>
      <c r="B179" s="100"/>
      <c r="C179" s="101" t="s">
        <v>939</v>
      </c>
      <c r="D179" s="149"/>
      <c r="E179" s="31">
        <v>32179011</v>
      </c>
      <c r="F179" s="31">
        <v>1012615</v>
      </c>
      <c r="G179" s="202" t="s">
        <v>845</v>
      </c>
      <c r="H179" s="202" t="s">
        <v>845</v>
      </c>
      <c r="I179" s="202" t="s">
        <v>845</v>
      </c>
      <c r="J179" s="202" t="s">
        <v>845</v>
      </c>
      <c r="K179" s="155"/>
    </row>
    <row r="180" spans="1:11" x14ac:dyDescent="0.2">
      <c r="A180" s="99">
        <v>4022</v>
      </c>
      <c r="B180" s="100"/>
      <c r="C180" s="101" t="s">
        <v>941</v>
      </c>
      <c r="D180" s="149"/>
      <c r="E180" s="31">
        <v>8884823</v>
      </c>
      <c r="F180" s="31">
        <v>4650517</v>
      </c>
      <c r="G180" s="202" t="s">
        <v>845</v>
      </c>
      <c r="H180" s="202" t="s">
        <v>845</v>
      </c>
      <c r="I180" s="202" t="s">
        <v>845</v>
      </c>
      <c r="J180" s="202" t="s">
        <v>845</v>
      </c>
      <c r="K180" s="155"/>
    </row>
    <row r="181" spans="1:11" x14ac:dyDescent="0.2">
      <c r="A181" s="99">
        <v>4023</v>
      </c>
      <c r="B181" s="100"/>
      <c r="C181" s="101" t="s">
        <v>943</v>
      </c>
      <c r="D181" s="149"/>
      <c r="E181" s="31">
        <v>5356722</v>
      </c>
      <c r="F181" s="31">
        <v>600460</v>
      </c>
      <c r="G181" s="202" t="s">
        <v>845</v>
      </c>
      <c r="H181" s="202" t="s">
        <v>845</v>
      </c>
      <c r="I181" s="202" t="s">
        <v>845</v>
      </c>
      <c r="J181" s="202" t="s">
        <v>845</v>
      </c>
      <c r="K181" s="155"/>
    </row>
    <row r="182" spans="1:11" x14ac:dyDescent="0.2">
      <c r="A182" s="99">
        <v>4024</v>
      </c>
      <c r="B182" s="100"/>
      <c r="C182" s="101" t="s">
        <v>945</v>
      </c>
      <c r="D182" s="149"/>
      <c r="E182" s="31">
        <v>3425372</v>
      </c>
      <c r="F182" s="31">
        <v>276395</v>
      </c>
      <c r="G182" s="202" t="s">
        <v>845</v>
      </c>
      <c r="H182" s="202" t="s">
        <v>845</v>
      </c>
      <c r="I182" s="202" t="s">
        <v>845</v>
      </c>
      <c r="J182" s="202" t="s">
        <v>845</v>
      </c>
      <c r="K182" s="155"/>
    </row>
    <row r="183" spans="1:11" x14ac:dyDescent="0.2">
      <c r="A183" s="99">
        <v>4025</v>
      </c>
      <c r="B183" s="100"/>
      <c r="C183" s="101" t="s">
        <v>947</v>
      </c>
      <c r="D183" s="149"/>
      <c r="E183" s="31">
        <v>19455104</v>
      </c>
      <c r="F183" s="31">
        <v>13799243</v>
      </c>
      <c r="G183" s="202" t="s">
        <v>845</v>
      </c>
      <c r="H183" s="202" t="s">
        <v>845</v>
      </c>
      <c r="I183" s="202" t="s">
        <v>845</v>
      </c>
      <c r="J183" s="202" t="s">
        <v>845</v>
      </c>
      <c r="K183" s="155"/>
    </row>
    <row r="184" spans="1:11" x14ac:dyDescent="0.2">
      <c r="A184" s="99">
        <v>4026</v>
      </c>
      <c r="B184" s="100"/>
      <c r="C184" s="101" t="s">
        <v>949</v>
      </c>
      <c r="D184" s="149"/>
      <c r="E184" s="31">
        <v>10256266</v>
      </c>
      <c r="F184" s="31">
        <v>750636</v>
      </c>
      <c r="G184" s="202" t="s">
        <v>845</v>
      </c>
      <c r="H184" s="202" t="s">
        <v>845</v>
      </c>
      <c r="I184" s="202" t="s">
        <v>845</v>
      </c>
      <c r="J184" s="202" t="s">
        <v>845</v>
      </c>
      <c r="K184" s="155"/>
    </row>
    <row r="185" spans="1:11" x14ac:dyDescent="0.2">
      <c r="A185" s="99">
        <v>4027</v>
      </c>
      <c r="B185" s="100"/>
      <c r="C185" s="101" t="s">
        <v>951</v>
      </c>
      <c r="D185" s="149"/>
      <c r="E185" s="31">
        <v>5032217</v>
      </c>
      <c r="F185" s="31">
        <v>1588196</v>
      </c>
      <c r="G185" s="202" t="s">
        <v>845</v>
      </c>
      <c r="H185" s="202" t="s">
        <v>845</v>
      </c>
      <c r="I185" s="202" t="s">
        <v>845</v>
      </c>
      <c r="J185" s="202" t="s">
        <v>845</v>
      </c>
      <c r="K185" s="155"/>
    </row>
    <row r="186" spans="1:11" x14ac:dyDescent="0.2">
      <c r="A186" s="99">
        <v>4028</v>
      </c>
      <c r="B186" s="100"/>
      <c r="C186" s="101" t="s">
        <v>265</v>
      </c>
      <c r="D186" s="149"/>
      <c r="E186" s="31">
        <v>6294206</v>
      </c>
      <c r="F186" s="31">
        <v>0</v>
      </c>
      <c r="G186" s="202" t="s">
        <v>845</v>
      </c>
      <c r="H186" s="202" t="s">
        <v>845</v>
      </c>
      <c r="I186" s="202" t="s">
        <v>845</v>
      </c>
      <c r="J186" s="202" t="s">
        <v>845</v>
      </c>
      <c r="K186" s="155"/>
    </row>
    <row r="187" spans="1:11" x14ac:dyDescent="0.2">
      <c r="A187" s="99">
        <v>4029</v>
      </c>
      <c r="B187" s="100"/>
      <c r="C187" s="101" t="s">
        <v>953</v>
      </c>
      <c r="D187" s="149"/>
      <c r="E187" s="31">
        <v>26911046</v>
      </c>
      <c r="F187" s="31">
        <v>6608292.4000000004</v>
      </c>
      <c r="G187" s="202" t="s">
        <v>845</v>
      </c>
      <c r="H187" s="202" t="s">
        <v>845</v>
      </c>
      <c r="I187" s="202" t="s">
        <v>845</v>
      </c>
      <c r="J187" s="202" t="s">
        <v>845</v>
      </c>
      <c r="K187" s="155"/>
    </row>
    <row r="188" spans="1:11" x14ac:dyDescent="0.2">
      <c r="A188" s="82"/>
      <c r="B188" s="94"/>
      <c r="C188" s="95"/>
      <c r="D188" s="145"/>
      <c r="E188" s="34"/>
      <c r="F188" s="34"/>
      <c r="G188" s="34"/>
      <c r="H188" s="34"/>
      <c r="I188" s="34"/>
      <c r="J188" s="34"/>
      <c r="K188" s="156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87"/>
    </row>
    <row r="190" spans="1:11" x14ac:dyDescent="0.2">
      <c r="A190" s="82"/>
      <c r="B190" s="94"/>
      <c r="C190" s="95"/>
      <c r="D190" s="145"/>
      <c r="E190" s="34"/>
      <c r="F190" s="34"/>
      <c r="G190" s="34"/>
      <c r="H190" s="34"/>
      <c r="I190" s="34"/>
      <c r="J190" s="34"/>
      <c r="K190" s="87"/>
    </row>
    <row r="191" spans="1:11" x14ac:dyDescent="0.2">
      <c r="A191" s="99">
        <v>413302</v>
      </c>
      <c r="B191" s="100"/>
      <c r="C191" s="101" t="s">
        <v>823</v>
      </c>
      <c r="D191" s="149"/>
      <c r="E191" s="31">
        <v>43633680</v>
      </c>
      <c r="F191" s="31">
        <v>22595594</v>
      </c>
      <c r="G191" s="31">
        <v>0</v>
      </c>
      <c r="H191" s="31">
        <f>88415118+36552363+8207266+2176782</f>
        <v>135351529</v>
      </c>
      <c r="I191" s="31">
        <v>0</v>
      </c>
      <c r="J191" s="31">
        <f>E191+F191+G191+H191-I191</f>
        <v>201580803</v>
      </c>
      <c r="K191" s="103">
        <f>J191/J$143*100</f>
        <v>4.251867023694393</v>
      </c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>
        <v>403</v>
      </c>
      <c r="B193" s="100"/>
      <c r="C193" s="101" t="s">
        <v>957</v>
      </c>
      <c r="D193" s="149"/>
      <c r="E193" s="31">
        <f>SUM(E194:E198)</f>
        <v>35379589</v>
      </c>
      <c r="F193" s="31">
        <f>SUM(F194:F198)</f>
        <v>672803</v>
      </c>
      <c r="G193" s="31">
        <f>SUM(G194:G198)</f>
        <v>2700000</v>
      </c>
      <c r="H193" s="31">
        <v>0</v>
      </c>
      <c r="I193" s="31">
        <f>SUM(I194:I198)</f>
        <v>0</v>
      </c>
      <c r="J193" s="31">
        <f>E193+F193+G193+H193-I193</f>
        <v>38752392</v>
      </c>
      <c r="K193" s="103">
        <f t="shared" ref="K193:K198" si="15">J193/J$143*100</f>
        <v>0.81738942985596896</v>
      </c>
    </row>
    <row r="194" spans="1:11" x14ac:dyDescent="0.2">
      <c r="A194" s="99">
        <v>4030</v>
      </c>
      <c r="B194" s="100"/>
      <c r="C194" s="101" t="s">
        <v>959</v>
      </c>
      <c r="D194" s="149"/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f>E194+F194+G194+H194</f>
        <v>0</v>
      </c>
      <c r="K194" s="103">
        <f t="shared" si="15"/>
        <v>0</v>
      </c>
    </row>
    <row r="195" spans="1:11" x14ac:dyDescent="0.2">
      <c r="A195" s="99">
        <v>4031</v>
      </c>
      <c r="B195" s="100"/>
      <c r="C195" s="101" t="s">
        <v>961</v>
      </c>
      <c r="D195" s="149"/>
      <c r="E195" s="31">
        <v>5314906</v>
      </c>
      <c r="F195" s="31">
        <v>425690</v>
      </c>
      <c r="G195" s="31">
        <v>2700000</v>
      </c>
      <c r="H195" s="31">
        <v>0</v>
      </c>
      <c r="I195" s="31">
        <v>0</v>
      </c>
      <c r="J195" s="31">
        <f>E195+F195+G195+H195</f>
        <v>8440596</v>
      </c>
      <c r="K195" s="103">
        <f t="shared" si="15"/>
        <v>0.17803427339619637</v>
      </c>
    </row>
    <row r="196" spans="1:11" x14ac:dyDescent="0.2">
      <c r="A196" s="99">
        <v>4032</v>
      </c>
      <c r="B196" s="100"/>
      <c r="C196" s="101" t="s">
        <v>963</v>
      </c>
      <c r="D196" s="149"/>
      <c r="E196" s="31">
        <v>0</v>
      </c>
      <c r="F196" s="31">
        <v>13179</v>
      </c>
      <c r="G196" s="31">
        <v>0</v>
      </c>
      <c r="H196" s="31">
        <v>0</v>
      </c>
      <c r="I196" s="31">
        <v>0</v>
      </c>
      <c r="J196" s="31">
        <f>E196+F196+G196+H196</f>
        <v>13179</v>
      </c>
      <c r="K196" s="103">
        <f t="shared" si="15"/>
        <v>2.7797962242103185E-4</v>
      </c>
    </row>
    <row r="197" spans="1:11" x14ac:dyDescent="0.2">
      <c r="A197" s="99">
        <v>4033</v>
      </c>
      <c r="B197" s="100"/>
      <c r="C197" s="101" t="s">
        <v>965</v>
      </c>
      <c r="D197" s="149"/>
      <c r="E197" s="31">
        <v>583</v>
      </c>
      <c r="F197" s="31">
        <v>211372</v>
      </c>
      <c r="G197" s="31">
        <v>0</v>
      </c>
      <c r="H197" s="31">
        <v>0</v>
      </c>
      <c r="I197" s="31">
        <v>0</v>
      </c>
      <c r="J197" s="31">
        <f>E197+F197+G197+H197</f>
        <v>211955</v>
      </c>
      <c r="K197" s="103">
        <f t="shared" si="15"/>
        <v>4.470686005785705E-3</v>
      </c>
    </row>
    <row r="198" spans="1:11" x14ac:dyDescent="0.2">
      <c r="A198" s="99">
        <v>4034</v>
      </c>
      <c r="B198" s="100"/>
      <c r="C198" s="101" t="s">
        <v>967</v>
      </c>
      <c r="D198" s="149"/>
      <c r="E198" s="31">
        <v>30064100</v>
      </c>
      <c r="F198" s="31">
        <v>22562</v>
      </c>
      <c r="G198" s="31">
        <v>0</v>
      </c>
      <c r="H198" s="31">
        <v>0</v>
      </c>
      <c r="I198" s="31">
        <v>0</v>
      </c>
      <c r="J198" s="31">
        <f>E198+F198+G198+H198</f>
        <v>30086662</v>
      </c>
      <c r="K198" s="103">
        <f t="shared" si="15"/>
        <v>0.63460649083156595</v>
      </c>
    </row>
    <row r="199" spans="1:11" x14ac:dyDescent="0.2">
      <c r="A199" s="82"/>
      <c r="B199" s="94"/>
      <c r="C199" s="95"/>
      <c r="D199" s="145"/>
      <c r="E199" s="34"/>
      <c r="F199" s="34"/>
      <c r="G199" s="34"/>
      <c r="H199" s="34"/>
      <c r="I199" s="34"/>
      <c r="J199" s="34"/>
      <c r="K199" s="105"/>
    </row>
    <row r="200" spans="1:11" x14ac:dyDescent="0.2">
      <c r="A200" s="99">
        <v>404</v>
      </c>
      <c r="B200" s="100"/>
      <c r="C200" s="101" t="s">
        <v>969</v>
      </c>
      <c r="D200" s="149"/>
      <c r="E200" s="31">
        <f>SUM(E201:E205)</f>
        <v>35712867</v>
      </c>
      <c r="F200" s="31">
        <f>SUM(F201:F204)</f>
        <v>0</v>
      </c>
      <c r="G200" s="31">
        <f>SUM(G201:G204)</f>
        <v>0</v>
      </c>
      <c r="H200" s="31">
        <v>0</v>
      </c>
      <c r="I200" s="31">
        <f>SUM(I201:I204)</f>
        <v>0</v>
      </c>
      <c r="J200" s="31">
        <f>E200+F200+G200+H200-I200</f>
        <v>35712867</v>
      </c>
      <c r="K200" s="103">
        <f>J200/J$143*100</f>
        <v>0.75327788786952954</v>
      </c>
    </row>
    <row r="201" spans="1:11" x14ac:dyDescent="0.2">
      <c r="A201" s="99">
        <v>4040</v>
      </c>
      <c r="B201" s="100"/>
      <c r="C201" s="101" t="s">
        <v>971</v>
      </c>
      <c r="D201" s="149"/>
      <c r="E201" s="31">
        <v>5433243</v>
      </c>
      <c r="F201" s="31">
        <v>0</v>
      </c>
      <c r="G201" s="31">
        <v>0</v>
      </c>
      <c r="H201" s="31">
        <v>0</v>
      </c>
      <c r="I201" s="31">
        <v>0</v>
      </c>
      <c r="J201" s="31">
        <f>E201+F201+G201+H201</f>
        <v>5433243</v>
      </c>
      <c r="K201" s="103"/>
    </row>
    <row r="202" spans="1:11" x14ac:dyDescent="0.2">
      <c r="A202" s="99">
        <v>4041</v>
      </c>
      <c r="B202" s="100"/>
      <c r="C202" s="101" t="s">
        <v>973</v>
      </c>
      <c r="D202" s="149"/>
      <c r="E202" s="31">
        <v>120554</v>
      </c>
      <c r="F202" s="31">
        <v>0</v>
      </c>
      <c r="G202" s="31">
        <v>0</v>
      </c>
      <c r="H202" s="31">
        <v>0</v>
      </c>
      <c r="I202" s="31">
        <v>0</v>
      </c>
      <c r="J202" s="31">
        <f>E202+F202+G202+H202</f>
        <v>120554</v>
      </c>
      <c r="K202" s="103">
        <f>J202/J$143*100</f>
        <v>2.5427995600079728E-3</v>
      </c>
    </row>
    <row r="203" spans="1:11" x14ac:dyDescent="0.2">
      <c r="A203" s="99">
        <v>4042</v>
      </c>
      <c r="B203" s="100"/>
      <c r="C203" s="101" t="s">
        <v>975</v>
      </c>
      <c r="D203" s="149"/>
      <c r="E203" s="31">
        <v>3713823</v>
      </c>
      <c r="F203" s="31">
        <v>0</v>
      </c>
      <c r="G203" s="31">
        <v>0</v>
      </c>
      <c r="H203" s="31">
        <v>0</v>
      </c>
      <c r="I203" s="31">
        <v>0</v>
      </c>
      <c r="J203" s="31">
        <f>E203+F203+G203+H203</f>
        <v>3713823</v>
      </c>
      <c r="K203" s="103">
        <f>J203/J$143*100</f>
        <v>7.8334252619966904E-2</v>
      </c>
    </row>
    <row r="204" spans="1:11" x14ac:dyDescent="0.2">
      <c r="A204" s="99">
        <v>4043</v>
      </c>
      <c r="B204" s="100"/>
      <c r="C204" s="101" t="s">
        <v>977</v>
      </c>
      <c r="D204" s="149"/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f>E204+F204+G204+H204</f>
        <v>0</v>
      </c>
      <c r="K204" s="103">
        <f>J204/J$143*100</f>
        <v>0</v>
      </c>
    </row>
    <row r="205" spans="1:11" x14ac:dyDescent="0.2">
      <c r="A205" s="99">
        <v>4044</v>
      </c>
      <c r="B205" s="100"/>
      <c r="C205" s="101" t="s">
        <v>834</v>
      </c>
      <c r="D205" s="149"/>
      <c r="E205" s="31">
        <v>26445247</v>
      </c>
      <c r="F205" s="31">
        <v>0</v>
      </c>
      <c r="G205" s="31">
        <v>0</v>
      </c>
      <c r="H205" s="31">
        <v>0</v>
      </c>
      <c r="I205" s="31">
        <v>0</v>
      </c>
      <c r="J205" s="31">
        <f>E205+F205+G205+H205</f>
        <v>26445247</v>
      </c>
      <c r="K205" s="103">
        <f>J205/J$143*100</f>
        <v>0.55779951254958082</v>
      </c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>
        <v>409</v>
      </c>
      <c r="B207" s="100"/>
      <c r="C207" s="101" t="s">
        <v>979</v>
      </c>
      <c r="D207" s="149"/>
      <c r="E207" s="31">
        <f>+E208+E209+E210</f>
        <v>9992000</v>
      </c>
      <c r="F207" s="31">
        <f>+F208+F209+F210</f>
        <v>1256854</v>
      </c>
      <c r="G207" s="31">
        <f>+G208+G209+G210</f>
        <v>0</v>
      </c>
      <c r="H207" s="31">
        <f>+H208+H209+H210</f>
        <v>0</v>
      </c>
      <c r="I207" s="31">
        <f>+I208+I209+I210</f>
        <v>0</v>
      </c>
      <c r="J207" s="31">
        <f>E207+F207+G207+H207-I207</f>
        <v>11248854</v>
      </c>
      <c r="K207" s="103">
        <f>J207/J$143*100</f>
        <v>0.23726778872367507</v>
      </c>
    </row>
    <row r="208" spans="1:11" x14ac:dyDescent="0.2">
      <c r="A208" s="99">
        <v>4090</v>
      </c>
      <c r="B208" s="100"/>
      <c r="C208" s="101" t="s">
        <v>981</v>
      </c>
      <c r="D208" s="149"/>
      <c r="E208" s="31">
        <v>3992000</v>
      </c>
      <c r="F208" s="31">
        <v>0</v>
      </c>
      <c r="G208" s="31">
        <v>0</v>
      </c>
      <c r="H208" s="31">
        <v>0</v>
      </c>
      <c r="I208" s="31">
        <v>0</v>
      </c>
      <c r="J208" s="31">
        <f>E208+F208+G208+H208-I208</f>
        <v>3992000</v>
      </c>
      <c r="K208" s="103">
        <f>J208/J$143*100</f>
        <v>8.4201734024186917E-2</v>
      </c>
    </row>
    <row r="209" spans="1:11" x14ac:dyDescent="0.2">
      <c r="A209" s="99">
        <v>4091</v>
      </c>
      <c r="B209" s="100"/>
      <c r="C209" s="101" t="s">
        <v>983</v>
      </c>
      <c r="D209" s="149"/>
      <c r="E209" s="31">
        <v>6000000</v>
      </c>
      <c r="F209" s="31">
        <v>1256854</v>
      </c>
      <c r="G209" s="31">
        <v>0</v>
      </c>
      <c r="H209" s="31">
        <v>0</v>
      </c>
      <c r="I209" s="31">
        <v>0</v>
      </c>
      <c r="J209" s="31">
        <f>E209+F209+G209+H209-I209</f>
        <v>7256854</v>
      </c>
      <c r="K209" s="103">
        <f>J209/J$143*100</f>
        <v>0.15306605469948817</v>
      </c>
    </row>
    <row r="210" spans="1:11" x14ac:dyDescent="0.2">
      <c r="A210" s="99">
        <v>4092</v>
      </c>
      <c r="B210" s="100"/>
      <c r="C210" s="101" t="s">
        <v>985</v>
      </c>
      <c r="D210" s="149"/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f>E210+F210+G210+H210-I210</f>
        <v>0</v>
      </c>
      <c r="K210" s="103"/>
    </row>
    <row r="211" spans="1:11" x14ac:dyDescent="0.2">
      <c r="A211" s="82"/>
      <c r="B211" s="94"/>
      <c r="C211" s="95"/>
      <c r="D211" s="145"/>
      <c r="E211" s="34"/>
      <c r="F211" s="34"/>
      <c r="G211" s="34"/>
      <c r="H211" s="34"/>
      <c r="I211" s="34"/>
      <c r="J211" s="34"/>
      <c r="K211" s="105"/>
    </row>
    <row r="212" spans="1:11" ht="15.75" x14ac:dyDescent="0.25">
      <c r="A212" s="88">
        <v>41</v>
      </c>
      <c r="B212" s="89"/>
      <c r="C212" s="90" t="s">
        <v>987</v>
      </c>
      <c r="D212" s="146"/>
      <c r="E212" s="32">
        <f>E215+E220+E231+E235+E248</f>
        <v>462933522.5</v>
      </c>
      <c r="F212" s="32">
        <f>F215+F220+F231+F235+F248</f>
        <v>55199952.699999996</v>
      </c>
      <c r="G212" s="32">
        <f>G215+G220+G231+G235+G248</f>
        <v>634336479</v>
      </c>
      <c r="H212" s="32">
        <f>H215+H220+H231+H235+H248</f>
        <v>34528407.444776952</v>
      </c>
      <c r="I212" s="32">
        <f>I215+I220+I231+I235+I248</f>
        <v>286181689.39999998</v>
      </c>
      <c r="J212" s="32">
        <f>E212+F212+G212+H212-I212</f>
        <v>900816672.24477708</v>
      </c>
      <c r="K212" s="92">
        <f>J212/J$143*100</f>
        <v>19.000582625477925</v>
      </c>
    </row>
    <row r="213" spans="1:11" x14ac:dyDescent="0.2">
      <c r="A213" s="147"/>
      <c r="B213" s="148"/>
      <c r="C213" s="96" t="s">
        <v>989</v>
      </c>
      <c r="D213" s="145"/>
      <c r="E213" s="34"/>
      <c r="F213" s="34"/>
      <c r="G213" s="34"/>
      <c r="H213" s="34"/>
      <c r="I213" s="34"/>
      <c r="J213" s="34"/>
      <c r="K213" s="105"/>
    </row>
    <row r="214" spans="1:11" x14ac:dyDescent="0.2">
      <c r="A214" s="82"/>
      <c r="B214" s="94"/>
      <c r="C214" s="95"/>
      <c r="D214" s="145"/>
      <c r="E214" s="34"/>
      <c r="F214" s="34"/>
      <c r="G214" s="34"/>
      <c r="H214" s="34"/>
      <c r="I214" s="34"/>
      <c r="J214" s="34"/>
      <c r="K214" s="105"/>
    </row>
    <row r="215" spans="1:11" x14ac:dyDescent="0.2">
      <c r="A215" s="99">
        <v>410</v>
      </c>
      <c r="B215" s="100"/>
      <c r="C215" s="101" t="s">
        <v>990</v>
      </c>
      <c r="D215" s="149"/>
      <c r="E215" s="31">
        <f>E216+E217+E218</f>
        <v>59409622.5</v>
      </c>
      <c r="F215" s="31">
        <f>F216+F217+F218</f>
        <v>6876460.4000000004</v>
      </c>
      <c r="G215" s="31">
        <f>G216+G217+G218</f>
        <v>0</v>
      </c>
      <c r="H215" s="31">
        <f>H216+H217+H218</f>
        <v>0</v>
      </c>
      <c r="I215" s="31">
        <f>I216+I217+I218</f>
        <v>0</v>
      </c>
      <c r="J215" s="31">
        <f>E215+F215+G215+H215-I215</f>
        <v>66286082.899999999</v>
      </c>
      <c r="K215" s="103">
        <f>J215/J$143*100</f>
        <v>1.3981470746119748</v>
      </c>
    </row>
    <row r="216" spans="1:11" x14ac:dyDescent="0.2">
      <c r="A216" s="99">
        <v>4100</v>
      </c>
      <c r="B216" s="100"/>
      <c r="C216" s="101" t="s">
        <v>992</v>
      </c>
      <c r="D216" s="149"/>
      <c r="E216" s="31">
        <v>10620623.5</v>
      </c>
      <c r="F216" s="31">
        <v>1662485</v>
      </c>
      <c r="G216" s="31">
        <v>0</v>
      </c>
      <c r="H216" s="31">
        <v>0</v>
      </c>
      <c r="I216" s="31">
        <v>0</v>
      </c>
      <c r="J216" s="31">
        <f>E216+F216+G216+H216</f>
        <v>12283108.5</v>
      </c>
      <c r="K216" s="103">
        <f>J216/J$143*100</f>
        <v>0.25908292457595927</v>
      </c>
    </row>
    <row r="217" spans="1:11" x14ac:dyDescent="0.2">
      <c r="A217" s="99">
        <v>4101</v>
      </c>
      <c r="B217" s="100"/>
      <c r="C217" s="101" t="s">
        <v>994</v>
      </c>
      <c r="D217" s="149"/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f>E217+F217+G217+H217</f>
        <v>0</v>
      </c>
      <c r="K217" s="103">
        <f>J217/J$143*100</f>
        <v>0</v>
      </c>
    </row>
    <row r="218" spans="1:11" x14ac:dyDescent="0.2">
      <c r="A218" s="99">
        <v>4102</v>
      </c>
      <c r="B218" s="100"/>
      <c r="C218" s="101" t="s">
        <v>996</v>
      </c>
      <c r="D218" s="149"/>
      <c r="E218" s="31">
        <v>48788999</v>
      </c>
      <c r="F218" s="31">
        <v>5213975.4000000004</v>
      </c>
      <c r="G218" s="31">
        <v>0</v>
      </c>
      <c r="H218" s="31">
        <v>0</v>
      </c>
      <c r="I218" s="31">
        <v>0</v>
      </c>
      <c r="J218" s="31">
        <f>E218+F218+G218+H218</f>
        <v>54002974.399999999</v>
      </c>
      <c r="K218" s="103">
        <f>J218/J$143*100</f>
        <v>1.1390641500360157</v>
      </c>
    </row>
    <row r="219" spans="1:11" x14ac:dyDescent="0.2">
      <c r="A219" s="82"/>
      <c r="B219" s="94"/>
      <c r="C219" s="95"/>
      <c r="D219" s="145"/>
      <c r="E219" s="34"/>
      <c r="F219" s="34"/>
      <c r="G219" s="34"/>
      <c r="H219" s="34"/>
      <c r="I219" s="34"/>
      <c r="J219" s="34"/>
      <c r="K219" s="105"/>
    </row>
    <row r="220" spans="1:11" x14ac:dyDescent="0.2">
      <c r="A220" s="99">
        <v>411</v>
      </c>
      <c r="B220" s="100"/>
      <c r="C220" s="101" t="s">
        <v>998</v>
      </c>
      <c r="D220" s="149"/>
      <c r="E220" s="31">
        <f>SUM(E221:E229)</f>
        <v>167948038</v>
      </c>
      <c r="F220" s="31">
        <f>SUM(F221:F229)</f>
        <v>25635022.899999999</v>
      </c>
      <c r="G220" s="31">
        <f>SUM(G221:G229)</f>
        <v>585134387</v>
      </c>
      <c r="H220" s="31">
        <f>SUM(H221:H229)</f>
        <v>31405469.044776957</v>
      </c>
      <c r="I220" s="31">
        <f>SUM(I221:I229)</f>
        <v>3518509</v>
      </c>
      <c r="J220" s="31">
        <f>E220+F220+G220+H220-I220</f>
        <v>806604407.94477689</v>
      </c>
      <c r="K220" s="103">
        <f t="shared" ref="K220:K229" si="16">J220/J$143*100</f>
        <v>17.013399253632979</v>
      </c>
    </row>
    <row r="221" spans="1:11" x14ac:dyDescent="0.2">
      <c r="A221" s="99">
        <v>4110</v>
      </c>
      <c r="B221" s="100"/>
      <c r="C221" s="101" t="s">
        <v>1000</v>
      </c>
      <c r="D221" s="149"/>
      <c r="E221" s="31">
        <v>25750576</v>
      </c>
      <c r="F221" s="31">
        <v>126997</v>
      </c>
      <c r="G221" s="31">
        <v>0</v>
      </c>
      <c r="H221" s="31">
        <v>0</v>
      </c>
      <c r="I221" s="117">
        <v>0</v>
      </c>
      <c r="J221" s="109">
        <f>E221+F221+G221+H221-I221</f>
        <v>25877573</v>
      </c>
      <c r="K221" s="103">
        <f t="shared" si="16"/>
        <v>0.54582578129696402</v>
      </c>
    </row>
    <row r="222" spans="1:11" x14ac:dyDescent="0.2">
      <c r="A222" s="99">
        <v>4111</v>
      </c>
      <c r="B222" s="100"/>
      <c r="C222" s="101" t="s">
        <v>1002</v>
      </c>
      <c r="D222" s="149"/>
      <c r="E222" s="31">
        <v>81377700</v>
      </c>
      <c r="F222" s="31">
        <v>126118</v>
      </c>
      <c r="G222" s="31">
        <v>0</v>
      </c>
      <c r="H222" s="31">
        <v>0</v>
      </c>
      <c r="I222" s="31">
        <v>0</v>
      </c>
      <c r="J222" s="109">
        <f>E222+F222+G222+H222-I222</f>
        <v>81503818</v>
      </c>
      <c r="K222" s="103">
        <f t="shared" si="16"/>
        <v>1.719128959216367</v>
      </c>
    </row>
    <row r="223" spans="1:11" x14ac:dyDescent="0.2">
      <c r="A223" s="99">
        <v>4112</v>
      </c>
      <c r="B223" s="100"/>
      <c r="C223" s="101" t="s">
        <v>1004</v>
      </c>
      <c r="D223" s="149"/>
      <c r="E223" s="31">
        <v>18284138</v>
      </c>
      <c r="F223" s="31">
        <v>447654</v>
      </c>
      <c r="G223" s="31">
        <v>24926892</v>
      </c>
      <c r="H223" s="31">
        <v>0</v>
      </c>
      <c r="I223" s="31">
        <v>0</v>
      </c>
      <c r="J223" s="31">
        <f>E223+F223+G223+H223</f>
        <v>43658684</v>
      </c>
      <c r="K223" s="103">
        <f t="shared" si="16"/>
        <v>0.92087597645641905</v>
      </c>
    </row>
    <row r="224" spans="1:11" x14ac:dyDescent="0.2">
      <c r="A224" s="99">
        <v>4113</v>
      </c>
      <c r="B224" s="100"/>
      <c r="C224" s="101" t="s">
        <v>1006</v>
      </c>
      <c r="D224" s="149"/>
      <c r="E224" s="31">
        <v>16115142</v>
      </c>
      <c r="F224" s="31">
        <v>2086</v>
      </c>
      <c r="G224" s="31">
        <v>0</v>
      </c>
      <c r="H224" s="31">
        <v>0</v>
      </c>
      <c r="I224" s="31">
        <v>0</v>
      </c>
      <c r="J224" s="31">
        <f>E224+F224+G224+H224</f>
        <v>16117228</v>
      </c>
      <c r="K224" s="103">
        <f t="shared" si="16"/>
        <v>0.33995454540660769</v>
      </c>
    </row>
    <row r="225" spans="1:11" x14ac:dyDescent="0.2">
      <c r="A225" s="99">
        <v>4114</v>
      </c>
      <c r="B225" s="100"/>
      <c r="C225" s="101" t="s">
        <v>1008</v>
      </c>
      <c r="D225" s="149"/>
      <c r="E225" s="31">
        <v>0</v>
      </c>
      <c r="F225" s="31">
        <v>0</v>
      </c>
      <c r="G225" s="31">
        <v>533345096</v>
      </c>
      <c r="H225" s="31">
        <v>0</v>
      </c>
      <c r="I225" s="31">
        <v>0</v>
      </c>
      <c r="J225" s="31">
        <f>E225+F225+G225+H225</f>
        <v>533345096</v>
      </c>
      <c r="K225" s="103">
        <f t="shared" si="16"/>
        <v>11.249644768661431</v>
      </c>
    </row>
    <row r="226" spans="1:11" x14ac:dyDescent="0.2">
      <c r="A226" s="99">
        <v>4115</v>
      </c>
      <c r="B226" s="100"/>
      <c r="C226" s="101" t="s">
        <v>1010</v>
      </c>
      <c r="D226" s="149"/>
      <c r="E226" s="31">
        <v>4369</v>
      </c>
      <c r="F226" s="31">
        <v>0</v>
      </c>
      <c r="G226" s="31">
        <v>26847872</v>
      </c>
      <c r="H226" s="31">
        <v>0</v>
      </c>
      <c r="I226" s="31">
        <v>0</v>
      </c>
      <c r="J226" s="31">
        <f>E226+F226+G226+H226</f>
        <v>26852241</v>
      </c>
      <c r="K226" s="103">
        <f t="shared" si="16"/>
        <v>0.56638408182248656</v>
      </c>
    </row>
    <row r="227" spans="1:11" x14ac:dyDescent="0.2">
      <c r="A227" s="99">
        <v>4116</v>
      </c>
      <c r="B227" s="100"/>
      <c r="C227" s="101" t="s">
        <v>1012</v>
      </c>
      <c r="D227" s="149"/>
      <c r="E227" s="31">
        <v>0</v>
      </c>
      <c r="F227" s="31">
        <v>0</v>
      </c>
      <c r="G227" s="31">
        <v>0</v>
      </c>
      <c r="H227" s="31">
        <v>28756865.276776958</v>
      </c>
      <c r="I227" s="117">
        <f>2540363+978146</f>
        <v>3518509</v>
      </c>
      <c r="J227" s="109">
        <f>E227+F227+G227+H227-I227</f>
        <v>25238356.276776958</v>
      </c>
      <c r="K227" s="103">
        <f t="shared" si="16"/>
        <v>0.53234302665952937</v>
      </c>
    </row>
    <row r="228" spans="1:11" x14ac:dyDescent="0.2">
      <c r="A228" s="99">
        <v>4117</v>
      </c>
      <c r="B228" s="100"/>
      <c r="C228" s="101" t="s">
        <v>1014</v>
      </c>
      <c r="D228" s="149"/>
      <c r="E228" s="31">
        <v>18482831</v>
      </c>
      <c r="F228" s="31">
        <v>200538.5</v>
      </c>
      <c r="G228" s="31">
        <v>4537</v>
      </c>
      <c r="H228" s="31">
        <v>0</v>
      </c>
      <c r="I228" s="31">
        <v>0</v>
      </c>
      <c r="J228" s="31">
        <f>E228+F228+G228+H228</f>
        <v>18687906.5</v>
      </c>
      <c r="K228" s="103">
        <f t="shared" si="16"/>
        <v>0.39417688691930697</v>
      </c>
    </row>
    <row r="229" spans="1:11" x14ac:dyDescent="0.2">
      <c r="A229" s="99">
        <v>4119</v>
      </c>
      <c r="B229" s="100"/>
      <c r="C229" s="101" t="s">
        <v>1016</v>
      </c>
      <c r="D229" s="149"/>
      <c r="E229" s="31">
        <v>7933282</v>
      </c>
      <c r="F229" s="31">
        <v>24731629.399999999</v>
      </c>
      <c r="G229" s="31">
        <v>9990</v>
      </c>
      <c r="H229" s="31">
        <v>2648603.7680000002</v>
      </c>
      <c r="I229" s="31">
        <v>0</v>
      </c>
      <c r="J229" s="31">
        <f>E229+F229+G229+H229-I229</f>
        <v>35323505.167999998</v>
      </c>
      <c r="K229" s="103">
        <f t="shared" si="16"/>
        <v>0.74506522719386958</v>
      </c>
    </row>
    <row r="230" spans="1:11" x14ac:dyDescent="0.2">
      <c r="A230" s="82"/>
      <c r="B230" s="94"/>
      <c r="C230" s="95"/>
      <c r="D230" s="145"/>
      <c r="E230" s="34"/>
      <c r="F230" s="34"/>
      <c r="G230" s="34"/>
      <c r="H230" s="34"/>
      <c r="I230" s="34"/>
      <c r="J230" s="34"/>
      <c r="K230" s="105"/>
    </row>
    <row r="231" spans="1:11" x14ac:dyDescent="0.2">
      <c r="A231" s="99">
        <v>412</v>
      </c>
      <c r="B231" s="100"/>
      <c r="C231" s="101" t="s">
        <v>0</v>
      </c>
      <c r="D231" s="149"/>
      <c r="E231" s="31">
        <f>E233</f>
        <v>7504725</v>
      </c>
      <c r="F231" s="31">
        <f>F233</f>
        <v>10479642.4</v>
      </c>
      <c r="G231" s="31">
        <f>G233</f>
        <v>717780</v>
      </c>
      <c r="H231" s="31">
        <f>H233</f>
        <v>826826</v>
      </c>
      <c r="I231" s="31">
        <f>I233</f>
        <v>0</v>
      </c>
      <c r="J231" s="31">
        <f>E231+F231+G231+H231-I231</f>
        <v>19528973.399999999</v>
      </c>
      <c r="K231" s="103">
        <f>J231/J$143*100</f>
        <v>0.4119171903788128</v>
      </c>
    </row>
    <row r="232" spans="1:11" x14ac:dyDescent="0.2">
      <c r="A232" s="147"/>
      <c r="B232" s="148"/>
      <c r="C232" s="96" t="s">
        <v>2</v>
      </c>
      <c r="D232" s="145"/>
      <c r="E232" s="34"/>
      <c r="F232" s="34"/>
      <c r="G232" s="34"/>
      <c r="H232" s="34"/>
      <c r="I232" s="34"/>
      <c r="J232" s="34"/>
      <c r="K232" s="105"/>
    </row>
    <row r="233" spans="1:11" x14ac:dyDescent="0.2">
      <c r="A233" s="99">
        <v>4120</v>
      </c>
      <c r="B233" s="100"/>
      <c r="C233" s="101" t="s">
        <v>4</v>
      </c>
      <c r="D233" s="149"/>
      <c r="E233" s="31">
        <v>7504725</v>
      </c>
      <c r="F233" s="31">
        <v>10479642.4</v>
      </c>
      <c r="G233" s="31">
        <v>717780</v>
      </c>
      <c r="H233" s="31">
        <v>826826</v>
      </c>
      <c r="I233" s="31">
        <v>0</v>
      </c>
      <c r="J233" s="31">
        <f>E233+F233+G233+H233</f>
        <v>19528973.399999999</v>
      </c>
      <c r="K233" s="103">
        <f>J233/J$143*100</f>
        <v>0.4119171903788128</v>
      </c>
    </row>
    <row r="234" spans="1:11" x14ac:dyDescent="0.2">
      <c r="A234" s="82"/>
      <c r="B234" s="94"/>
      <c r="C234" s="95"/>
      <c r="D234" s="145"/>
      <c r="E234" s="34"/>
      <c r="F234" s="34"/>
      <c r="G234" s="34"/>
      <c r="H234" s="34"/>
      <c r="I234" s="34"/>
      <c r="J234" s="34"/>
      <c r="K234" s="105"/>
    </row>
    <row r="235" spans="1:11" x14ac:dyDescent="0.2">
      <c r="A235" s="99">
        <v>413</v>
      </c>
      <c r="B235" s="100"/>
      <c r="C235" s="101" t="s">
        <v>6</v>
      </c>
      <c r="D235" s="149"/>
      <c r="E235" s="31">
        <f>+E237+E239+E241+E245</f>
        <v>225576719</v>
      </c>
      <c r="F235" s="31">
        <f>+F237+F239+F241</f>
        <v>12208827</v>
      </c>
      <c r="G235" s="31">
        <f>+G237+G239+G241</f>
        <v>48484312</v>
      </c>
      <c r="H235" s="31">
        <f>+H237+H239+H241+H245</f>
        <v>494389.4</v>
      </c>
      <c r="I235" s="31">
        <f>+I237+I239+I241+I245</f>
        <v>282663180.39999998</v>
      </c>
      <c r="J235" s="31">
        <f>E235+F235+G235+H235-I235</f>
        <v>4101067</v>
      </c>
      <c r="K235" s="103">
        <f>J235/J$143*100</f>
        <v>8.6502242672687912E-2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106">
        <v>4130</v>
      </c>
      <c r="B237" s="107"/>
      <c r="C237" s="108" t="s">
        <v>8</v>
      </c>
      <c r="D237" s="153"/>
      <c r="E237" s="109">
        <v>33628552</v>
      </c>
      <c r="F237" s="109">
        <v>4220084</v>
      </c>
      <c r="G237" s="109">
        <v>0</v>
      </c>
      <c r="H237" s="109">
        <v>0</v>
      </c>
      <c r="I237" s="117">
        <f>+E237+F237+G237+H237-3612798+1064914+6106398</f>
        <v>41407150</v>
      </c>
      <c r="J237" s="109">
        <f>E237+F237+G237+H237-I237</f>
        <v>-3558514</v>
      </c>
      <c r="K237" s="103"/>
    </row>
    <row r="238" spans="1:11" x14ac:dyDescent="0.2">
      <c r="A238" s="114"/>
      <c r="B238" s="115"/>
      <c r="C238" s="154"/>
      <c r="D238" s="157"/>
      <c r="E238" s="113"/>
      <c r="F238" s="113"/>
      <c r="G238" s="113"/>
      <c r="H238" s="113"/>
      <c r="I238" s="113"/>
      <c r="J238" s="113"/>
      <c r="K238" s="110"/>
    </row>
    <row r="239" spans="1:11" x14ac:dyDescent="0.2">
      <c r="A239" s="106">
        <v>4131</v>
      </c>
      <c r="B239" s="107"/>
      <c r="C239" s="108" t="s">
        <v>10</v>
      </c>
      <c r="D239" s="153"/>
      <c r="E239" s="109">
        <v>190094920</v>
      </c>
      <c r="F239" s="109">
        <v>2092042</v>
      </c>
      <c r="G239" s="109">
        <v>48484312</v>
      </c>
      <c r="H239" s="109">
        <v>489414.40000000002</v>
      </c>
      <c r="I239" s="109">
        <f>+E239+F239+G239+H239</f>
        <v>241160688.40000001</v>
      </c>
      <c r="J239" s="109">
        <f>E239+F239+G239+H239-I239</f>
        <v>0</v>
      </c>
      <c r="K239" s="104"/>
    </row>
    <row r="240" spans="1:11" x14ac:dyDescent="0.2">
      <c r="A240" s="114"/>
      <c r="B240" s="115"/>
      <c r="C240" s="154"/>
      <c r="D240" s="157"/>
      <c r="E240" s="113"/>
      <c r="F240" s="113"/>
      <c r="G240" s="113"/>
      <c r="H240" s="113"/>
      <c r="I240" s="113"/>
      <c r="J240" s="113"/>
      <c r="K240" s="87"/>
    </row>
    <row r="241" spans="1:11" x14ac:dyDescent="0.2">
      <c r="A241" s="106">
        <v>4132</v>
      </c>
      <c r="B241" s="107"/>
      <c r="C241" s="108" t="s">
        <v>15</v>
      </c>
      <c r="D241" s="153"/>
      <c r="E241" s="109">
        <v>1762880</v>
      </c>
      <c r="F241" s="109">
        <v>5896701</v>
      </c>
      <c r="G241" s="109">
        <v>0</v>
      </c>
      <c r="H241" s="109">
        <v>0</v>
      </c>
      <c r="I241" s="109">
        <v>0</v>
      </c>
      <c r="J241" s="109">
        <f>E241+F241+G241+H241-I241</f>
        <v>7659581</v>
      </c>
      <c r="K241" s="103"/>
    </row>
    <row r="242" spans="1:11" x14ac:dyDescent="0.2">
      <c r="A242" s="114"/>
      <c r="B242" s="115"/>
      <c r="C242" s="154"/>
      <c r="D242" s="157"/>
      <c r="E242" s="113"/>
      <c r="F242" s="113"/>
      <c r="G242" s="113"/>
      <c r="H242" s="113"/>
      <c r="I242" s="113"/>
      <c r="J242" s="113"/>
      <c r="K242" s="87"/>
    </row>
    <row r="243" spans="1:11" x14ac:dyDescent="0.2">
      <c r="A243" s="82"/>
      <c r="B243" s="94"/>
      <c r="C243" s="95"/>
      <c r="D243" s="145"/>
      <c r="E243" s="34"/>
      <c r="F243" s="34"/>
      <c r="G243" s="34"/>
      <c r="H243" s="34"/>
      <c r="I243" s="86"/>
      <c r="J243" s="86"/>
      <c r="K243" s="110"/>
    </row>
    <row r="244" spans="1:11" x14ac:dyDescent="0.2">
      <c r="A244" s="82"/>
      <c r="B244" s="94"/>
      <c r="C244" s="95"/>
      <c r="D244" s="159"/>
      <c r="E244" s="34"/>
      <c r="F244" s="34"/>
      <c r="G244" s="34"/>
      <c r="H244" s="34"/>
      <c r="I244" s="86"/>
      <c r="J244" s="86"/>
      <c r="K244" s="110"/>
    </row>
    <row r="245" spans="1:11" x14ac:dyDescent="0.2">
      <c r="A245" s="106">
        <v>4134</v>
      </c>
      <c r="B245" s="107"/>
      <c r="C245" s="108" t="s">
        <v>840</v>
      </c>
      <c r="D245" s="153"/>
      <c r="E245" s="109">
        <v>90367</v>
      </c>
      <c r="F245" s="109">
        <v>0</v>
      </c>
      <c r="G245" s="109">
        <v>0</v>
      </c>
      <c r="H245" s="109">
        <v>4975</v>
      </c>
      <c r="I245" s="109">
        <f>+E245+F245+G245+H245</f>
        <v>95342</v>
      </c>
      <c r="J245" s="109">
        <f>E245+F245+G245+H245-I245</f>
        <v>0</v>
      </c>
      <c r="K245" s="103"/>
    </row>
    <row r="246" spans="1:11" x14ac:dyDescent="0.2">
      <c r="A246" s="82"/>
      <c r="B246" s="94"/>
      <c r="C246" s="95"/>
      <c r="D246" s="159"/>
      <c r="E246" s="34"/>
      <c r="F246" s="34"/>
      <c r="G246" s="34"/>
      <c r="H246" s="34"/>
      <c r="I246" s="34"/>
      <c r="J246" s="34"/>
      <c r="K246" s="150"/>
    </row>
    <row r="247" spans="1:11" x14ac:dyDescent="0.2">
      <c r="A247" s="82"/>
      <c r="B247" s="94"/>
      <c r="C247" s="95"/>
      <c r="D247" s="145"/>
      <c r="E247" s="34"/>
      <c r="F247" s="34"/>
      <c r="G247" s="34"/>
      <c r="H247" s="34"/>
      <c r="I247" s="34"/>
      <c r="J247" s="34"/>
      <c r="K247" s="105"/>
    </row>
    <row r="248" spans="1:11" x14ac:dyDescent="0.2">
      <c r="A248" s="99">
        <v>414</v>
      </c>
      <c r="B248" s="100"/>
      <c r="C248" s="101" t="s">
        <v>25</v>
      </c>
      <c r="D248" s="149"/>
      <c r="E248" s="31">
        <f>SUM(E249:E252)</f>
        <v>2494418</v>
      </c>
      <c r="F248" s="31">
        <v>0</v>
      </c>
      <c r="G248" s="31">
        <f>SUM(G249:G252)</f>
        <v>0</v>
      </c>
      <c r="H248" s="31">
        <f>SUM(H249:H252)</f>
        <v>1801723</v>
      </c>
      <c r="I248" s="31">
        <f>SUM(I249:I252)</f>
        <v>0</v>
      </c>
      <c r="J248" s="31">
        <f>E248+F248+G248+H248-I248</f>
        <v>4296141</v>
      </c>
      <c r="K248" s="103">
        <f>J248/J$143*100</f>
        <v>9.061686418146403E-2</v>
      </c>
    </row>
    <row r="249" spans="1:11" x14ac:dyDescent="0.2">
      <c r="A249" s="99">
        <v>4140</v>
      </c>
      <c r="B249" s="100"/>
      <c r="C249" s="101" t="s">
        <v>27</v>
      </c>
      <c r="D249" s="149"/>
      <c r="E249" s="31">
        <v>107250</v>
      </c>
      <c r="F249" s="31">
        <v>0</v>
      </c>
      <c r="G249" s="31">
        <v>0</v>
      </c>
      <c r="H249" s="31">
        <v>0</v>
      </c>
      <c r="I249" s="31">
        <f>SUM(I250:I253)</f>
        <v>0</v>
      </c>
      <c r="J249" s="31">
        <f>E249+F249+G249+H249-I249</f>
        <v>107250</v>
      </c>
      <c r="K249" s="103">
        <f>J249/J$143*100</f>
        <v>2.2621833602439996E-3</v>
      </c>
    </row>
    <row r="250" spans="1:11" x14ac:dyDescent="0.2">
      <c r="A250" s="99">
        <v>4141</v>
      </c>
      <c r="B250" s="100"/>
      <c r="C250" s="101" t="s">
        <v>29</v>
      </c>
      <c r="D250" s="149"/>
      <c r="E250" s="31">
        <v>329651</v>
      </c>
      <c r="F250" s="31">
        <v>0</v>
      </c>
      <c r="G250" s="31">
        <v>0</v>
      </c>
      <c r="H250" s="31">
        <v>0</v>
      </c>
      <c r="I250" s="31">
        <f>SUM(I251:I254)</f>
        <v>0</v>
      </c>
      <c r="J250" s="31">
        <f>E250+F250+G250+H250-I250</f>
        <v>329651</v>
      </c>
      <c r="K250" s="103">
        <f>J250/J$143*100</f>
        <v>6.9532028614246594E-3</v>
      </c>
    </row>
    <row r="251" spans="1:11" x14ac:dyDescent="0.2">
      <c r="A251" s="99">
        <v>4142</v>
      </c>
      <c r="B251" s="100"/>
      <c r="C251" s="101" t="s">
        <v>31</v>
      </c>
      <c r="D251" s="149"/>
      <c r="E251" s="31">
        <v>388530</v>
      </c>
      <c r="F251" s="31">
        <v>0</v>
      </c>
      <c r="G251" s="31">
        <v>0</v>
      </c>
      <c r="H251" s="31">
        <v>1801723</v>
      </c>
      <c r="I251" s="31">
        <f>SUM(I252:I255)</f>
        <v>0</v>
      </c>
      <c r="J251" s="31">
        <f>E251+F251+G251+H251-I251</f>
        <v>2190253</v>
      </c>
      <c r="K251" s="103">
        <f>J251/J$143*100</f>
        <v>4.6198171480881123E-2</v>
      </c>
    </row>
    <row r="252" spans="1:11" x14ac:dyDescent="0.2">
      <c r="A252" s="99">
        <v>4143</v>
      </c>
      <c r="B252" s="100"/>
      <c r="C252" s="101" t="s">
        <v>33</v>
      </c>
      <c r="D252" s="149"/>
      <c r="E252" s="31">
        <v>1668987</v>
      </c>
      <c r="F252" s="31">
        <v>0</v>
      </c>
      <c r="G252" s="31">
        <v>0</v>
      </c>
      <c r="H252" s="31">
        <v>0</v>
      </c>
      <c r="I252" s="31">
        <f>SUM(I253:I256)</f>
        <v>0</v>
      </c>
      <c r="J252" s="31">
        <f>E252+F252+G252+H252-I252</f>
        <v>1668987</v>
      </c>
      <c r="K252" s="103">
        <f>J252/J$143*100</f>
        <v>3.5203306478914238E-2</v>
      </c>
    </row>
    <row r="253" spans="1:11" x14ac:dyDescent="0.2">
      <c r="A253" s="82"/>
      <c r="B253" s="94"/>
      <c r="C253" s="95"/>
      <c r="D253" s="145"/>
      <c r="E253" s="34"/>
      <c r="F253" s="34"/>
      <c r="G253" s="34"/>
      <c r="H253" s="34"/>
      <c r="I253" s="34"/>
      <c r="J253" s="34"/>
      <c r="K253" s="105"/>
    </row>
    <row r="254" spans="1:11" ht="15.75" x14ac:dyDescent="0.25">
      <c r="A254" s="88">
        <v>42</v>
      </c>
      <c r="B254" s="89"/>
      <c r="C254" s="90" t="s">
        <v>35</v>
      </c>
      <c r="D254" s="146"/>
      <c r="E254" s="32">
        <f>E256</f>
        <v>68247663</v>
      </c>
      <c r="F254" s="32">
        <f>F256</f>
        <v>63590675</v>
      </c>
      <c r="G254" s="32">
        <f>G256</f>
        <v>537275</v>
      </c>
      <c r="H254" s="32">
        <f>H256</f>
        <v>985000</v>
      </c>
      <c r="I254" s="32">
        <f>I256</f>
        <v>0</v>
      </c>
      <c r="J254" s="32">
        <f>E254+F254+G254+H254-I254</f>
        <v>133360613</v>
      </c>
      <c r="K254" s="92">
        <f>J254/J$143*100</f>
        <v>2.8129245654129567</v>
      </c>
    </row>
    <row r="255" spans="1:11" x14ac:dyDescent="0.2">
      <c r="A255" s="82"/>
      <c r="B255" s="94"/>
      <c r="C255" s="95"/>
      <c r="D255" s="145"/>
      <c r="E255" s="86"/>
      <c r="F255" s="86"/>
      <c r="G255" s="86"/>
      <c r="H255" s="86"/>
      <c r="I255" s="86"/>
      <c r="J255" s="86"/>
      <c r="K255" s="87"/>
    </row>
    <row r="256" spans="1:11" x14ac:dyDescent="0.2">
      <c r="A256" s="99">
        <v>420</v>
      </c>
      <c r="B256" s="100"/>
      <c r="C256" s="101" t="s">
        <v>37</v>
      </c>
      <c r="D256" s="149"/>
      <c r="E256" s="31">
        <f>SUM(E257:E266)</f>
        <v>68247663</v>
      </c>
      <c r="F256" s="31">
        <f>SUM(F257:F266)</f>
        <v>63590675</v>
      </c>
      <c r="G256" s="31">
        <f>SUM(G257:G266)</f>
        <v>537275</v>
      </c>
      <c r="H256" s="31">
        <f>SUM(H257:H266)</f>
        <v>985000</v>
      </c>
      <c r="I256" s="31">
        <f>SUM(I257:I266)</f>
        <v>0</v>
      </c>
      <c r="J256" s="31">
        <f t="shared" ref="J256:J266" si="17">E256+F256+G256+H256-I256</f>
        <v>133360613</v>
      </c>
      <c r="K256" s="103">
        <f t="shared" ref="K256:K266" si="18">J256/J$143*100</f>
        <v>2.8129245654129567</v>
      </c>
    </row>
    <row r="257" spans="1:11" x14ac:dyDescent="0.2">
      <c r="A257" s="99">
        <v>4200</v>
      </c>
      <c r="B257" s="100"/>
      <c r="C257" s="101" t="s">
        <v>39</v>
      </c>
      <c r="D257" s="149"/>
      <c r="E257" s="31">
        <v>2572995</v>
      </c>
      <c r="F257" s="31">
        <v>2212309</v>
      </c>
      <c r="G257" s="31">
        <v>0</v>
      </c>
      <c r="H257" s="31">
        <v>0</v>
      </c>
      <c r="I257" s="31">
        <v>0</v>
      </c>
      <c r="J257" s="31">
        <f t="shared" si="17"/>
        <v>4785304</v>
      </c>
      <c r="K257" s="103">
        <f t="shared" si="18"/>
        <v>0.10093459284390724</v>
      </c>
    </row>
    <row r="258" spans="1:11" x14ac:dyDescent="0.2">
      <c r="A258" s="99">
        <v>4201</v>
      </c>
      <c r="B258" s="100"/>
      <c r="C258" s="101" t="s">
        <v>41</v>
      </c>
      <c r="D258" s="149"/>
      <c r="E258" s="31">
        <v>1631968</v>
      </c>
      <c r="F258" s="31">
        <v>445964</v>
      </c>
      <c r="G258" s="31">
        <v>0</v>
      </c>
      <c r="H258" s="31">
        <v>0</v>
      </c>
      <c r="I258" s="31">
        <v>0</v>
      </c>
      <c r="J258" s="31">
        <f t="shared" si="17"/>
        <v>2077932</v>
      </c>
      <c r="K258" s="103">
        <f t="shared" si="18"/>
        <v>4.3829027450988663E-2</v>
      </c>
    </row>
    <row r="259" spans="1:11" x14ac:dyDescent="0.2">
      <c r="A259" s="99">
        <v>4202</v>
      </c>
      <c r="B259" s="100"/>
      <c r="C259" s="101" t="s">
        <v>43</v>
      </c>
      <c r="D259" s="149"/>
      <c r="E259" s="31">
        <v>15596380</v>
      </c>
      <c r="F259" s="31">
        <v>2528153</v>
      </c>
      <c r="G259" s="31">
        <v>537275</v>
      </c>
      <c r="H259" s="31">
        <v>0</v>
      </c>
      <c r="I259" s="31">
        <v>0</v>
      </c>
      <c r="J259" s="31">
        <f t="shared" si="17"/>
        <v>18661808</v>
      </c>
      <c r="K259" s="103">
        <f t="shared" si="18"/>
        <v>0.39362640120902892</v>
      </c>
    </row>
    <row r="260" spans="1:11" x14ac:dyDescent="0.2">
      <c r="A260" s="99">
        <v>4203</v>
      </c>
      <c r="B260" s="100"/>
      <c r="C260" s="101" t="s">
        <v>45</v>
      </c>
      <c r="D260" s="149"/>
      <c r="E260" s="31">
        <v>61538</v>
      </c>
      <c r="F260" s="31">
        <v>343404</v>
      </c>
      <c r="G260" s="31">
        <v>0</v>
      </c>
      <c r="H260" s="31">
        <v>0</v>
      </c>
      <c r="I260" s="31">
        <v>0</v>
      </c>
      <c r="J260" s="31">
        <f t="shared" si="17"/>
        <v>404942</v>
      </c>
      <c r="K260" s="103">
        <f t="shared" si="18"/>
        <v>8.541287219244062E-3</v>
      </c>
    </row>
    <row r="261" spans="1:11" x14ac:dyDescent="0.2">
      <c r="A261" s="99">
        <v>4204</v>
      </c>
      <c r="B261" s="100"/>
      <c r="C261" s="101" t="s">
        <v>47</v>
      </c>
      <c r="D261" s="149"/>
      <c r="E261" s="31">
        <v>27381217</v>
      </c>
      <c r="F261" s="31">
        <v>38456797</v>
      </c>
      <c r="G261" s="31">
        <v>0</v>
      </c>
      <c r="H261" s="31">
        <v>0</v>
      </c>
      <c r="I261" s="31">
        <v>0</v>
      </c>
      <c r="J261" s="31">
        <f t="shared" si="17"/>
        <v>65838014</v>
      </c>
      <c r="K261" s="103">
        <f t="shared" si="18"/>
        <v>1.3886961281334402</v>
      </c>
    </row>
    <row r="262" spans="1:11" x14ac:dyDescent="0.2">
      <c r="A262" s="99">
        <v>4205</v>
      </c>
      <c r="B262" s="100"/>
      <c r="C262" s="101" t="s">
        <v>49</v>
      </c>
      <c r="D262" s="149"/>
      <c r="E262" s="31">
        <v>9030827</v>
      </c>
      <c r="F262" s="31">
        <v>12062396</v>
      </c>
      <c r="G262" s="31">
        <v>0</v>
      </c>
      <c r="H262" s="31">
        <v>985000</v>
      </c>
      <c r="I262" s="31">
        <v>0</v>
      </c>
      <c r="J262" s="31">
        <f t="shared" si="17"/>
        <v>22078223</v>
      </c>
      <c r="K262" s="103">
        <f t="shared" si="18"/>
        <v>0.46568754027371895</v>
      </c>
    </row>
    <row r="263" spans="1:11" x14ac:dyDescent="0.2">
      <c r="A263" s="99">
        <v>4206</v>
      </c>
      <c r="B263" s="100"/>
      <c r="C263" s="101" t="s">
        <v>51</v>
      </c>
      <c r="D263" s="149"/>
      <c r="E263" s="31">
        <v>1867079</v>
      </c>
      <c r="F263" s="31">
        <v>2968598</v>
      </c>
      <c r="G263" s="31">
        <v>0</v>
      </c>
      <c r="H263" s="31">
        <v>0</v>
      </c>
      <c r="I263" s="31">
        <v>0</v>
      </c>
      <c r="J263" s="31">
        <f t="shared" si="17"/>
        <v>4835677</v>
      </c>
      <c r="K263" s="103">
        <f t="shared" si="18"/>
        <v>0.10199709132787525</v>
      </c>
    </row>
    <row r="264" spans="1:11" x14ac:dyDescent="0.2">
      <c r="A264" s="99">
        <v>4207</v>
      </c>
      <c r="B264" s="100"/>
      <c r="C264" s="101" t="s">
        <v>53</v>
      </c>
      <c r="D264" s="149"/>
      <c r="E264" s="31">
        <v>184837</v>
      </c>
      <c r="F264" s="31">
        <v>51968</v>
      </c>
      <c r="G264" s="31">
        <v>0</v>
      </c>
      <c r="H264" s="31">
        <v>0</v>
      </c>
      <c r="I264" s="31">
        <v>0</v>
      </c>
      <c r="J264" s="31">
        <f t="shared" si="17"/>
        <v>236805</v>
      </c>
      <c r="K264" s="103">
        <f t="shared" si="18"/>
        <v>4.9948375815625197E-3</v>
      </c>
    </row>
    <row r="265" spans="1:11" x14ac:dyDescent="0.2">
      <c r="A265" s="99">
        <v>4208</v>
      </c>
      <c r="B265" s="100"/>
      <c r="C265" s="101" t="s">
        <v>55</v>
      </c>
      <c r="D265" s="149"/>
      <c r="E265" s="31">
        <v>9873157</v>
      </c>
      <c r="F265" s="31">
        <v>4521086</v>
      </c>
      <c r="G265" s="31">
        <v>0</v>
      </c>
      <c r="H265" s="31">
        <v>0</v>
      </c>
      <c r="I265" s="31">
        <v>0</v>
      </c>
      <c r="J265" s="31">
        <f t="shared" si="17"/>
        <v>14394243</v>
      </c>
      <c r="K265" s="103">
        <f t="shared" si="18"/>
        <v>0.30361227970078009</v>
      </c>
    </row>
    <row r="266" spans="1:11" x14ac:dyDescent="0.2">
      <c r="A266" s="99">
        <v>4209</v>
      </c>
      <c r="B266" s="100"/>
      <c r="C266" s="101" t="s">
        <v>57</v>
      </c>
      <c r="D266" s="149"/>
      <c r="E266" s="31">
        <v>47665</v>
      </c>
      <c r="F266" s="31">
        <v>0</v>
      </c>
      <c r="G266" s="31">
        <v>0</v>
      </c>
      <c r="H266" s="31">
        <v>0</v>
      </c>
      <c r="I266" s="31">
        <v>0</v>
      </c>
      <c r="J266" s="31">
        <f t="shared" si="17"/>
        <v>47665</v>
      </c>
      <c r="K266" s="103">
        <f t="shared" si="18"/>
        <v>1.0053796724105383E-3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ht="15.75" x14ac:dyDescent="0.25">
      <c r="A268" s="88">
        <v>43</v>
      </c>
      <c r="B268" s="89"/>
      <c r="C268" s="90" t="s">
        <v>59</v>
      </c>
      <c r="D268" s="146"/>
      <c r="E268" s="32">
        <f>E270</f>
        <v>52004808</v>
      </c>
      <c r="F268" s="32">
        <f>F270</f>
        <v>21745997.399999999</v>
      </c>
      <c r="G268" s="32">
        <f>G270</f>
        <v>0</v>
      </c>
      <c r="H268" s="32">
        <f>H270</f>
        <v>0</v>
      </c>
      <c r="I268" s="32">
        <f>I270</f>
        <v>12070063</v>
      </c>
      <c r="J268" s="32">
        <f>E268+F268+G268+H268-I268</f>
        <v>61680742.400000006</v>
      </c>
      <c r="K268" s="92">
        <f>J268/J$143*100</f>
        <v>1.3010083832613197</v>
      </c>
    </row>
    <row r="269" spans="1:11" x14ac:dyDescent="0.2">
      <c r="A269" s="82"/>
      <c r="B269" s="94"/>
      <c r="C269" s="95"/>
      <c r="D269" s="145"/>
      <c r="E269" s="86"/>
      <c r="F269" s="86"/>
      <c r="G269" s="86"/>
      <c r="H269" s="86"/>
      <c r="I269" s="86"/>
      <c r="J269" s="86"/>
      <c r="K269" s="87"/>
    </row>
    <row r="270" spans="1:11" x14ac:dyDescent="0.2">
      <c r="A270" s="99">
        <v>430</v>
      </c>
      <c r="B270" s="100"/>
      <c r="C270" s="101" t="s">
        <v>61</v>
      </c>
      <c r="D270" s="149"/>
      <c r="E270" s="31">
        <f>SUM(E272:E280)</f>
        <v>52004808</v>
      </c>
      <c r="F270" s="31">
        <f>SUM(F272:F280)</f>
        <v>21745997.399999999</v>
      </c>
      <c r="G270" s="31">
        <v>0</v>
      </c>
      <c r="H270" s="31">
        <f>SUM(H272:H280)</f>
        <v>0</v>
      </c>
      <c r="I270" s="31">
        <f>SUM(I272:I280)</f>
        <v>12070063</v>
      </c>
      <c r="J270" s="31">
        <f>E270+F270+G270+H270-I270</f>
        <v>61680742.400000006</v>
      </c>
      <c r="K270" s="103">
        <f>J270/J$143*100</f>
        <v>1.3010083832613197</v>
      </c>
    </row>
    <row r="271" spans="1:11" x14ac:dyDescent="0.2">
      <c r="A271" s="82"/>
      <c r="B271" s="94"/>
      <c r="C271" s="95"/>
      <c r="D271" s="145"/>
      <c r="E271" s="34"/>
      <c r="F271" s="34"/>
      <c r="G271" s="34"/>
      <c r="H271" s="34"/>
      <c r="I271" s="34"/>
      <c r="J271" s="34"/>
      <c r="K271" s="105"/>
    </row>
    <row r="272" spans="1:11" x14ac:dyDescent="0.2">
      <c r="A272" s="106">
        <v>4300</v>
      </c>
      <c r="B272" s="107"/>
      <c r="C272" s="108" t="s">
        <v>62</v>
      </c>
      <c r="D272" s="153"/>
      <c r="E272" s="109">
        <v>10337419</v>
      </c>
      <c r="F272" s="109">
        <v>1732644</v>
      </c>
      <c r="G272" s="109">
        <v>0</v>
      </c>
      <c r="H272" s="109">
        <v>0</v>
      </c>
      <c r="I272" s="117">
        <f>+E272+F272</f>
        <v>12070063</v>
      </c>
      <c r="J272" s="109">
        <f>E272+F272+G272+H272-I272</f>
        <v>0</v>
      </c>
      <c r="K272" s="103">
        <f>J272/J$143*100</f>
        <v>0</v>
      </c>
    </row>
    <row r="273" spans="1:11" x14ac:dyDescent="0.2">
      <c r="A273" s="99">
        <v>4301</v>
      </c>
      <c r="B273" s="100"/>
      <c r="C273" s="101" t="s">
        <v>65</v>
      </c>
      <c r="D273" s="149"/>
      <c r="E273" s="31">
        <v>143962</v>
      </c>
      <c r="F273" s="31">
        <v>2241906</v>
      </c>
      <c r="G273" s="31">
        <v>0</v>
      </c>
      <c r="H273" s="31">
        <v>0</v>
      </c>
      <c r="I273" s="31">
        <v>0</v>
      </c>
      <c r="J273" s="31">
        <f t="shared" ref="J273:J280" si="19">E273+F273+G273+H273</f>
        <v>2385868</v>
      </c>
      <c r="K273" s="103">
        <f t="shared" ref="K273:K280" si="20">J273/J$143*100</f>
        <v>5.0324204096397485E-2</v>
      </c>
    </row>
    <row r="274" spans="1:11" x14ac:dyDescent="0.2">
      <c r="A274" s="99">
        <v>4302</v>
      </c>
      <c r="B274" s="100"/>
      <c r="C274" s="101" t="s">
        <v>67</v>
      </c>
      <c r="D274" s="149"/>
      <c r="E274" s="31">
        <v>950884</v>
      </c>
      <c r="F274" s="31">
        <v>1271301</v>
      </c>
      <c r="G274" s="31">
        <v>0</v>
      </c>
      <c r="H274" s="31">
        <v>0</v>
      </c>
      <c r="I274" s="31">
        <v>0</v>
      </c>
      <c r="J274" s="31">
        <f t="shared" si="19"/>
        <v>2222185</v>
      </c>
      <c r="K274" s="103">
        <f t="shared" si="20"/>
        <v>4.687170098259965E-2</v>
      </c>
    </row>
    <row r="275" spans="1:11" x14ac:dyDescent="0.2">
      <c r="A275" s="99">
        <v>4303</v>
      </c>
      <c r="B275" s="100"/>
      <c r="C275" s="101" t="s">
        <v>69</v>
      </c>
      <c r="D275" s="149"/>
      <c r="E275" s="31">
        <v>28710593</v>
      </c>
      <c r="F275" s="31">
        <v>4951767</v>
      </c>
      <c r="G275" s="31">
        <v>0</v>
      </c>
      <c r="H275" s="31">
        <v>0</v>
      </c>
      <c r="I275" s="31">
        <v>0</v>
      </c>
      <c r="J275" s="31">
        <f t="shared" si="19"/>
        <v>33662360</v>
      </c>
      <c r="K275" s="103">
        <f t="shared" si="20"/>
        <v>0.71002732548758229</v>
      </c>
    </row>
    <row r="276" spans="1:11" x14ac:dyDescent="0.2">
      <c r="A276" s="99">
        <v>4304</v>
      </c>
      <c r="B276" s="100"/>
      <c r="C276" s="101" t="s">
        <v>71</v>
      </c>
      <c r="D276" s="149"/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f t="shared" si="19"/>
        <v>0</v>
      </c>
      <c r="K276" s="103">
        <f t="shared" si="20"/>
        <v>0</v>
      </c>
    </row>
    <row r="277" spans="1:11" x14ac:dyDescent="0.2">
      <c r="A277" s="99">
        <v>4305</v>
      </c>
      <c r="B277" s="100"/>
      <c r="C277" s="101" t="s">
        <v>73</v>
      </c>
      <c r="D277" s="149"/>
      <c r="E277" s="31">
        <v>4130323</v>
      </c>
      <c r="F277" s="31">
        <v>1056468</v>
      </c>
      <c r="G277" s="31">
        <v>0</v>
      </c>
      <c r="H277" s="31">
        <v>0</v>
      </c>
      <c r="I277" s="31">
        <v>0</v>
      </c>
      <c r="J277" s="31">
        <f t="shared" si="19"/>
        <v>5186791</v>
      </c>
      <c r="K277" s="103">
        <f t="shared" si="20"/>
        <v>0.1094030050653924</v>
      </c>
    </row>
    <row r="278" spans="1:11" x14ac:dyDescent="0.2">
      <c r="A278" s="99">
        <v>4306</v>
      </c>
      <c r="B278" s="100"/>
      <c r="C278" s="101" t="s">
        <v>75</v>
      </c>
      <c r="D278" s="149"/>
      <c r="E278" s="31">
        <v>1900594</v>
      </c>
      <c r="F278" s="31">
        <v>252709</v>
      </c>
      <c r="G278" s="31">
        <v>0</v>
      </c>
      <c r="H278" s="31">
        <v>0</v>
      </c>
      <c r="I278" s="31">
        <v>0</v>
      </c>
      <c r="J278" s="31">
        <f t="shared" si="19"/>
        <v>2153303</v>
      </c>
      <c r="K278" s="103">
        <f t="shared" si="20"/>
        <v>4.5418799218307548E-2</v>
      </c>
    </row>
    <row r="279" spans="1:11" x14ac:dyDescent="0.2">
      <c r="A279" s="99">
        <v>4307</v>
      </c>
      <c r="B279" s="100"/>
      <c r="C279" s="101" t="s">
        <v>77</v>
      </c>
      <c r="D279" s="149"/>
      <c r="E279" s="31">
        <v>5694804</v>
      </c>
      <c r="F279" s="31">
        <v>10239202.4</v>
      </c>
      <c r="G279" s="31">
        <v>0</v>
      </c>
      <c r="H279" s="31">
        <v>0</v>
      </c>
      <c r="I279" s="31">
        <v>0</v>
      </c>
      <c r="J279" s="31">
        <f t="shared" si="19"/>
        <v>15934006.4</v>
      </c>
      <c r="K279" s="103">
        <f t="shared" si="20"/>
        <v>0.33608992205222743</v>
      </c>
    </row>
    <row r="280" spans="1:11" x14ac:dyDescent="0.2">
      <c r="A280" s="99">
        <v>4308</v>
      </c>
      <c r="B280" s="100"/>
      <c r="C280" s="101" t="s">
        <v>79</v>
      </c>
      <c r="D280" s="149"/>
      <c r="E280" s="31">
        <v>136229</v>
      </c>
      <c r="F280" s="31">
        <v>0</v>
      </c>
      <c r="G280" s="31">
        <v>0</v>
      </c>
      <c r="H280" s="31">
        <v>0</v>
      </c>
      <c r="I280" s="31">
        <v>0</v>
      </c>
      <c r="J280" s="31">
        <f t="shared" si="19"/>
        <v>136229</v>
      </c>
      <c r="K280" s="103">
        <f t="shared" si="20"/>
        <v>2.8734263588128654E-3</v>
      </c>
    </row>
    <row r="281" spans="1:11" ht="15.75" thickBot="1" x14ac:dyDescent="0.25">
      <c r="A281" s="120"/>
      <c r="B281" s="121"/>
      <c r="C281" s="122"/>
      <c r="D281" s="160"/>
      <c r="E281" s="161"/>
      <c r="F281" s="161"/>
      <c r="G281" s="161"/>
      <c r="H281" s="161"/>
      <c r="I281" s="161"/>
      <c r="J281" s="161"/>
      <c r="K281" s="162"/>
    </row>
    <row r="282" spans="1:11" ht="15.75" thickTop="1" x14ac:dyDescent="0.2">
      <c r="A282" s="135"/>
      <c r="B282" s="136"/>
      <c r="C282" s="137"/>
      <c r="D282" s="163"/>
      <c r="E282" s="164"/>
      <c r="F282" s="164"/>
      <c r="G282" s="164"/>
      <c r="H282" s="164"/>
      <c r="I282" s="164"/>
      <c r="J282" s="164"/>
      <c r="K282" s="165"/>
    </row>
    <row r="283" spans="1:11" ht="15.75" thickBot="1" x14ac:dyDescent="0.25">
      <c r="A283" s="82"/>
      <c r="B283" s="94"/>
      <c r="C283" s="95"/>
      <c r="D283" s="145"/>
      <c r="E283" s="34"/>
      <c r="F283" s="34"/>
      <c r="G283" s="34"/>
      <c r="H283" s="34"/>
      <c r="I283" s="34"/>
      <c r="J283" s="34"/>
      <c r="K283" s="166"/>
    </row>
    <row r="284" spans="1:11" s="6" customFormat="1" ht="17.25" thickTop="1" thickBot="1" x14ac:dyDescent="0.3">
      <c r="A284" s="69" t="s">
        <v>83</v>
      </c>
      <c r="B284" s="70"/>
      <c r="C284" s="77" t="s">
        <v>828</v>
      </c>
      <c r="D284" s="142"/>
      <c r="E284" s="73">
        <f>E22-E146</f>
        <v>-49632596.5</v>
      </c>
      <c r="F284" s="73">
        <f>F22-F146</f>
        <v>2000050.099999994</v>
      </c>
      <c r="G284" s="73">
        <f>G22-G146</f>
        <v>6374999.5</v>
      </c>
      <c r="H284" s="73">
        <f>H22-H146+1</f>
        <v>-3119599.8647769094</v>
      </c>
      <c r="I284" s="73">
        <f>I22-I146</f>
        <v>-0.40600001811981201</v>
      </c>
      <c r="J284" s="167">
        <f>J22-J146</f>
        <v>-44377147.358777046</v>
      </c>
      <c r="K284" s="76">
        <f>J284/J$143*100</f>
        <v>-0.93603025016430197</v>
      </c>
    </row>
    <row r="285" spans="1:11" s="6" customFormat="1" ht="16.5" thickTop="1" x14ac:dyDescent="0.25">
      <c r="A285" s="69"/>
      <c r="B285" s="70"/>
      <c r="C285" s="71" t="s">
        <v>829</v>
      </c>
      <c r="D285" s="142"/>
      <c r="E285" s="168">
        <f>+E284/$J$143*100</f>
        <v>-1.0468814352261497</v>
      </c>
      <c r="F285" s="168">
        <f>+F284/$J$143*100</f>
        <v>4.218629422726651E-2</v>
      </c>
      <c r="G285" s="168">
        <f>+G284/$J$143*100</f>
        <v>0.13446543394371857</v>
      </c>
      <c r="H285" s="168">
        <f>+H284/$J$143*100</f>
        <v>-6.5800530580118935E-2</v>
      </c>
      <c r="I285" s="32"/>
      <c r="J285" s="32"/>
      <c r="K285" s="144"/>
    </row>
    <row r="286" spans="1:11" s="338" customFormat="1" ht="15.75" x14ac:dyDescent="0.25">
      <c r="A286" s="88"/>
      <c r="B286" s="89"/>
      <c r="C286" s="90" t="s">
        <v>88</v>
      </c>
      <c r="D286" s="146"/>
      <c r="E286" s="48"/>
      <c r="F286" s="48"/>
      <c r="G286" s="48"/>
      <c r="H286" s="48"/>
      <c r="I286" s="32"/>
      <c r="J286" s="32"/>
      <c r="K286" s="257"/>
    </row>
    <row r="287" spans="1:11" s="6" customFormat="1" ht="15.75" x14ac:dyDescent="0.25">
      <c r="A287" s="88"/>
      <c r="B287" s="89"/>
      <c r="C287" s="246" t="s">
        <v>864</v>
      </c>
      <c r="D287" s="146"/>
      <c r="E287" s="32"/>
      <c r="F287" s="32"/>
      <c r="G287" s="32"/>
      <c r="H287" s="32"/>
      <c r="I287" s="32"/>
      <c r="J287" s="32"/>
      <c r="K287" s="93"/>
    </row>
    <row r="288" spans="1:11" ht="15.75" thickBot="1" x14ac:dyDescent="0.25">
      <c r="A288" s="169"/>
      <c r="B288" s="170"/>
      <c r="C288" s="171"/>
      <c r="D288" s="160"/>
      <c r="E288" s="161"/>
      <c r="F288" s="161"/>
      <c r="G288" s="161"/>
      <c r="H288" s="161"/>
      <c r="I288" s="161"/>
      <c r="J288" s="161"/>
      <c r="K288" s="166"/>
    </row>
    <row r="289" spans="1:11" ht="15.75" thickTop="1" x14ac:dyDescent="0.2">
      <c r="A289" s="61"/>
      <c r="B289" s="62"/>
      <c r="C289" s="172"/>
      <c r="D289" s="173"/>
      <c r="E289" s="66"/>
      <c r="F289" s="66"/>
      <c r="G289" s="66"/>
      <c r="H289" s="66"/>
      <c r="I289" s="66"/>
      <c r="J289" s="66"/>
      <c r="K289" s="174"/>
    </row>
    <row r="290" spans="1:11" s="6" customFormat="1" ht="15.75" x14ac:dyDescent="0.25">
      <c r="A290" s="69" t="s">
        <v>90</v>
      </c>
      <c r="B290" s="70"/>
      <c r="C290" s="77" t="s">
        <v>91</v>
      </c>
      <c r="D290" s="142"/>
      <c r="E290" s="73">
        <f t="shared" ref="E290:J290" si="21">(E22-E84)-(E146-E193-E200)</f>
        <v>14659859.5</v>
      </c>
      <c r="F290" s="73">
        <f t="shared" si="21"/>
        <v>549991.59999999404</v>
      </c>
      <c r="G290" s="73">
        <f t="shared" si="21"/>
        <v>8975999.5</v>
      </c>
      <c r="H290" s="73">
        <f t="shared" si="21"/>
        <v>-4403046.8647769094</v>
      </c>
      <c r="I290" s="73">
        <f t="shared" si="21"/>
        <v>-0.40600001811981201</v>
      </c>
      <c r="J290" s="73">
        <f t="shared" si="21"/>
        <v>19782804.141222954</v>
      </c>
      <c r="K290" s="92">
        <f>J290/J$143*100</f>
        <v>0.41727114542881721</v>
      </c>
    </row>
    <row r="291" spans="1:11" s="6" customFormat="1" ht="15.75" x14ac:dyDescent="0.25">
      <c r="A291" s="69"/>
      <c r="B291" s="70"/>
      <c r="C291" s="77" t="s">
        <v>93</v>
      </c>
      <c r="D291" s="142"/>
      <c r="E291" s="73"/>
      <c r="F291" s="73"/>
      <c r="G291" s="73"/>
      <c r="H291" s="73"/>
      <c r="I291" s="73"/>
      <c r="J291" s="175"/>
      <c r="K291" s="93"/>
    </row>
    <row r="292" spans="1:11" s="6" customFormat="1" ht="15.75" x14ac:dyDescent="0.25">
      <c r="A292" s="88"/>
      <c r="B292" s="89"/>
      <c r="C292" s="90" t="s">
        <v>95</v>
      </c>
      <c r="D292" s="146"/>
      <c r="E292" s="32"/>
      <c r="F292" s="32"/>
      <c r="G292" s="32"/>
      <c r="H292" s="32"/>
      <c r="I292" s="32"/>
      <c r="J292" s="29"/>
      <c r="K292" s="93"/>
    </row>
    <row r="293" spans="1:11" ht="15.75" thickBot="1" x14ac:dyDescent="0.25">
      <c r="A293" s="120"/>
      <c r="B293" s="121"/>
      <c r="C293" s="122"/>
      <c r="D293" s="160"/>
      <c r="E293" s="124"/>
      <c r="F293" s="124"/>
      <c r="G293" s="124"/>
      <c r="H293" s="124"/>
      <c r="I293" s="124"/>
      <c r="J293" s="124"/>
      <c r="K293" s="125"/>
    </row>
    <row r="294" spans="1:11" ht="15.75" thickTop="1" x14ac:dyDescent="0.2">
      <c r="A294" s="61"/>
      <c r="B294" s="62"/>
      <c r="C294" s="172"/>
      <c r="D294" s="173"/>
      <c r="E294" s="176"/>
      <c r="F294" s="176"/>
      <c r="G294" s="176"/>
      <c r="H294" s="176"/>
      <c r="I294" s="176"/>
      <c r="J294" s="176"/>
      <c r="K294" s="177"/>
    </row>
    <row r="295" spans="1:11" s="6" customFormat="1" ht="15.75" x14ac:dyDescent="0.25">
      <c r="A295" s="69" t="s">
        <v>96</v>
      </c>
      <c r="B295" s="70"/>
      <c r="C295" s="77" t="s">
        <v>97</v>
      </c>
      <c r="D295" s="142"/>
      <c r="E295" s="73">
        <f t="shared" ref="E295:J295" si="22">E25-(E149+E212)</f>
        <v>57614874.5</v>
      </c>
      <c r="F295" s="73">
        <f t="shared" si="22"/>
        <v>25678454.5</v>
      </c>
      <c r="G295" s="73">
        <f t="shared" si="22"/>
        <v>-187752175</v>
      </c>
      <c r="H295" s="73">
        <f t="shared" si="22"/>
        <v>-57568721.358776927</v>
      </c>
      <c r="I295" s="73">
        <f t="shared" si="22"/>
        <v>-283412380.39999998</v>
      </c>
      <c r="J295" s="73">
        <f t="shared" si="22"/>
        <v>121384813.04122305</v>
      </c>
      <c r="K295" s="92">
        <f>J295/J$143*100</f>
        <v>2.5603235827336466</v>
      </c>
    </row>
    <row r="296" spans="1:11" s="6" customFormat="1" ht="15.75" x14ac:dyDescent="0.25">
      <c r="A296" s="69"/>
      <c r="B296" s="70"/>
      <c r="C296" s="77" t="s">
        <v>93</v>
      </c>
      <c r="D296" s="142"/>
      <c r="E296" s="73"/>
      <c r="F296" s="73"/>
      <c r="G296" s="73"/>
      <c r="H296" s="73"/>
      <c r="I296" s="73"/>
      <c r="J296" s="73"/>
      <c r="K296" s="93"/>
    </row>
    <row r="297" spans="1:11" s="6" customFormat="1" ht="15.75" x14ac:dyDescent="0.25">
      <c r="A297" s="88"/>
      <c r="B297" s="89"/>
      <c r="C297" s="90" t="s">
        <v>99</v>
      </c>
      <c r="D297" s="146"/>
      <c r="E297" s="32"/>
      <c r="F297" s="32"/>
      <c r="G297" s="32"/>
      <c r="H297" s="32"/>
      <c r="I297" s="32"/>
      <c r="J297" s="29"/>
      <c r="K297" s="93"/>
    </row>
    <row r="298" spans="1:11" ht="15.75" thickBot="1" x14ac:dyDescent="0.25">
      <c r="A298" s="178"/>
      <c r="B298" s="179"/>
      <c r="C298" s="180"/>
      <c r="D298" s="181"/>
      <c r="E298" s="182"/>
      <c r="F298" s="182"/>
      <c r="G298" s="182"/>
      <c r="H298" s="182"/>
      <c r="I298" s="182"/>
      <c r="J298" s="182"/>
      <c r="K298" s="183"/>
    </row>
    <row r="299" spans="1:11" ht="15.75" thickTop="1" x14ac:dyDescent="0.2">
      <c r="A299" s="184"/>
      <c r="B299" s="184"/>
      <c r="C299" s="56"/>
      <c r="D299" s="185"/>
      <c r="E299" s="186"/>
      <c r="F299" s="186"/>
      <c r="G299" s="186"/>
      <c r="H299" s="186"/>
      <c r="I299" s="186"/>
      <c r="J299" s="186"/>
      <c r="K299" s="186"/>
    </row>
    <row r="300" spans="1:11" x14ac:dyDescent="0.2">
      <c r="A300" s="53"/>
      <c r="B300" s="53"/>
      <c r="C300" s="54"/>
      <c r="D300" s="187"/>
      <c r="E300" s="188"/>
      <c r="F300" s="188"/>
      <c r="G300" s="188"/>
      <c r="H300" s="188"/>
      <c r="I300" s="188"/>
      <c r="J300" s="188"/>
      <c r="K300" s="51"/>
    </row>
    <row r="301" spans="1:11" x14ac:dyDescent="0.2">
      <c r="A301" s="53"/>
      <c r="B301" s="53"/>
      <c r="C301" s="54"/>
      <c r="D301" s="187"/>
      <c r="E301" s="188"/>
      <c r="F301" s="188"/>
      <c r="G301" s="188"/>
      <c r="H301" s="188"/>
      <c r="I301" s="188"/>
      <c r="J301" s="188"/>
      <c r="K301" s="51"/>
    </row>
    <row r="302" spans="1:11" s="7" customFormat="1" ht="23.25" x14ac:dyDescent="0.35">
      <c r="A302" s="201"/>
      <c r="B302" s="237" t="s">
        <v>841</v>
      </c>
      <c r="C302" s="239" t="s">
        <v>842</v>
      </c>
      <c r="D302" s="239" t="s">
        <v>843</v>
      </c>
      <c r="E302" s="237"/>
      <c r="F302" s="240"/>
      <c r="G302" s="264"/>
      <c r="H302" s="264"/>
      <c r="I302" s="381"/>
      <c r="J302" s="381"/>
      <c r="K302" s="9"/>
    </row>
    <row r="303" spans="1:11" x14ac:dyDescent="0.2">
      <c r="A303" s="53"/>
      <c r="B303" s="53"/>
      <c r="C303" s="54"/>
      <c r="D303" s="54"/>
      <c r="E303" s="51"/>
      <c r="F303" s="51"/>
      <c r="G303" s="51"/>
      <c r="H303" s="51"/>
      <c r="I303" s="51"/>
      <c r="J303" s="51"/>
      <c r="K303" s="51"/>
    </row>
    <row r="304" spans="1:11" ht="16.5" thickBot="1" x14ac:dyDescent="0.3">
      <c r="A304" s="305"/>
      <c r="B304" s="305"/>
      <c r="C304" s="346"/>
      <c r="D304" s="346"/>
      <c r="E304" s="241"/>
      <c r="F304" s="241"/>
      <c r="G304" s="241"/>
      <c r="H304" s="241"/>
      <c r="I304" s="55" t="s">
        <v>208</v>
      </c>
      <c r="J304" s="55"/>
      <c r="K304" s="241"/>
    </row>
    <row r="305" spans="1:11" ht="16.5" thickTop="1" x14ac:dyDescent="0.25">
      <c r="A305" s="306"/>
      <c r="B305" s="317"/>
      <c r="C305" s="347"/>
      <c r="D305" s="373"/>
      <c r="E305" s="334"/>
      <c r="F305" s="335"/>
      <c r="G305" s="335"/>
      <c r="H305" s="335"/>
      <c r="I305" s="335"/>
      <c r="J305" s="339"/>
      <c r="K305" s="276"/>
    </row>
    <row r="306" spans="1:11" s="50" customFormat="1" ht="20.25" x14ac:dyDescent="0.3">
      <c r="A306" s="307"/>
      <c r="B306" s="242"/>
      <c r="C306" s="345"/>
      <c r="D306" s="374"/>
      <c r="E306" s="336" t="s">
        <v>839</v>
      </c>
      <c r="F306" s="337"/>
      <c r="G306" s="337"/>
      <c r="H306" s="337"/>
      <c r="I306" s="337"/>
      <c r="J306" s="340"/>
      <c r="K306" s="277" t="s">
        <v>209</v>
      </c>
    </row>
    <row r="307" spans="1:11" s="50" customFormat="1" ht="15.75" x14ac:dyDescent="0.25">
      <c r="A307" s="307"/>
      <c r="B307" s="242"/>
      <c r="C307" s="345"/>
      <c r="D307" s="374"/>
      <c r="E307" s="278"/>
      <c r="F307" s="279"/>
      <c r="G307" s="280"/>
      <c r="H307" s="281"/>
      <c r="I307" s="282" t="s">
        <v>210</v>
      </c>
      <c r="J307" s="282" t="s">
        <v>211</v>
      </c>
      <c r="K307" s="277" t="s">
        <v>212</v>
      </c>
    </row>
    <row r="308" spans="1:11" s="50" customFormat="1" ht="15.75" x14ac:dyDescent="0.25">
      <c r="A308" s="329" t="s">
        <v>213</v>
      </c>
      <c r="B308" s="242"/>
      <c r="C308" s="345"/>
      <c r="D308" s="374"/>
      <c r="E308" s="283" t="s">
        <v>214</v>
      </c>
      <c r="F308" s="284" t="s">
        <v>215</v>
      </c>
      <c r="G308" s="288" t="s">
        <v>216</v>
      </c>
      <c r="H308" s="289" t="s">
        <v>217</v>
      </c>
      <c r="I308" s="285" t="s">
        <v>218</v>
      </c>
      <c r="J308" s="285" t="s">
        <v>219</v>
      </c>
      <c r="K308" s="277" t="s">
        <v>220</v>
      </c>
    </row>
    <row r="309" spans="1:11" s="50" customFormat="1" ht="15.75" x14ac:dyDescent="0.25">
      <c r="A309" s="307"/>
      <c r="B309" s="242"/>
      <c r="C309" s="345"/>
      <c r="D309" s="374"/>
      <c r="E309" s="283" t="s">
        <v>221</v>
      </c>
      <c r="F309" s="284" t="s">
        <v>222</v>
      </c>
      <c r="G309" s="288"/>
      <c r="H309" s="289"/>
      <c r="I309" s="294" t="s">
        <v>223</v>
      </c>
      <c r="J309" s="285" t="s">
        <v>224</v>
      </c>
      <c r="K309" s="277" t="s">
        <v>225</v>
      </c>
    </row>
    <row r="310" spans="1:11" s="50" customFormat="1" ht="16.5" thickBot="1" x14ac:dyDescent="0.3">
      <c r="A310" s="308"/>
      <c r="B310" s="243"/>
      <c r="C310" s="346"/>
      <c r="D310" s="375"/>
      <c r="E310" s="290"/>
      <c r="F310" s="291"/>
      <c r="G310" s="292"/>
      <c r="H310" s="293"/>
      <c r="I310" s="295" t="s">
        <v>226</v>
      </c>
      <c r="J310" s="286"/>
      <c r="K310" s="287" t="s">
        <v>228</v>
      </c>
    </row>
    <row r="311" spans="1:11" s="50" customFormat="1" ht="15.75" thickTop="1" x14ac:dyDescent="0.2">
      <c r="A311" s="57"/>
      <c r="B311" s="58"/>
      <c r="C311" s="59"/>
      <c r="D311" s="60"/>
      <c r="E311" s="260" t="s">
        <v>229</v>
      </c>
      <c r="F311" s="260" t="s">
        <v>230</v>
      </c>
      <c r="G311" s="260" t="s">
        <v>231</v>
      </c>
      <c r="H311" s="260" t="s">
        <v>232</v>
      </c>
      <c r="I311" s="260" t="s">
        <v>233</v>
      </c>
      <c r="J311" s="260" t="s">
        <v>234</v>
      </c>
      <c r="K311" s="272"/>
    </row>
    <row r="312" spans="1:11" ht="15.75" x14ac:dyDescent="0.25">
      <c r="A312" s="190"/>
      <c r="B312" s="191" t="s">
        <v>100</v>
      </c>
      <c r="C312" s="192" t="s">
        <v>674</v>
      </c>
      <c r="D312" s="193"/>
      <c r="E312" s="194"/>
      <c r="F312" s="194"/>
      <c r="G312" s="194"/>
      <c r="H312" s="194"/>
      <c r="I312" s="194"/>
      <c r="J312" s="194"/>
      <c r="K312" s="195"/>
    </row>
    <row r="313" spans="1:11" ht="15.75" x14ac:dyDescent="0.25">
      <c r="A313" s="190"/>
      <c r="B313" s="191"/>
      <c r="C313" s="192" t="s">
        <v>676</v>
      </c>
      <c r="D313" s="193"/>
      <c r="E313" s="194">
        <f t="shared" ref="E313:J313" si="23">E315+E324+E329</f>
        <v>39541112</v>
      </c>
      <c r="F313" s="194">
        <f t="shared" si="23"/>
        <v>2367874.5</v>
      </c>
      <c r="G313" s="194">
        <f t="shared" si="23"/>
        <v>55000</v>
      </c>
      <c r="H313" s="194">
        <f t="shared" si="23"/>
        <v>718465</v>
      </c>
      <c r="I313" s="194">
        <f t="shared" si="23"/>
        <v>718465</v>
      </c>
      <c r="J313" s="196">
        <f t="shared" si="23"/>
        <v>41963986.5</v>
      </c>
      <c r="K313" s="197">
        <f>J313/J$143*100</f>
        <v>0.88513036820329904</v>
      </c>
    </row>
    <row r="314" spans="1:11" x14ac:dyDescent="0.2">
      <c r="A314" s="82"/>
      <c r="B314" s="94"/>
      <c r="C314" s="95"/>
      <c r="D314" s="145"/>
      <c r="E314" s="34"/>
      <c r="F314" s="34"/>
      <c r="G314" s="34"/>
      <c r="H314" s="34"/>
      <c r="I314" s="34"/>
      <c r="J314" s="34"/>
      <c r="K314" s="105"/>
    </row>
    <row r="315" spans="1:11" x14ac:dyDescent="0.2">
      <c r="A315" s="99">
        <v>750</v>
      </c>
      <c r="B315" s="100"/>
      <c r="C315" s="101" t="s">
        <v>678</v>
      </c>
      <c r="D315" s="149"/>
      <c r="E315" s="31">
        <f t="shared" ref="E315:J315" si="24">SUM(E316:E322)</f>
        <v>4588067</v>
      </c>
      <c r="F315" s="31">
        <f t="shared" si="24"/>
        <v>1815994</v>
      </c>
      <c r="G315" s="31">
        <f t="shared" si="24"/>
        <v>55000</v>
      </c>
      <c r="H315" s="31">
        <f>SUM(H316:H322)</f>
        <v>718465</v>
      </c>
      <c r="I315" s="31">
        <f t="shared" si="24"/>
        <v>718465</v>
      </c>
      <c r="J315" s="31">
        <f t="shared" si="24"/>
        <v>6459061</v>
      </c>
      <c r="K315" s="103">
        <f>J315/J$143*100</f>
        <v>0.13623851111422813</v>
      </c>
    </row>
    <row r="316" spans="1:11" x14ac:dyDescent="0.2">
      <c r="A316" s="99">
        <v>7500</v>
      </c>
      <c r="B316" s="100"/>
      <c r="C316" s="101" t="s">
        <v>680</v>
      </c>
      <c r="D316" s="149"/>
      <c r="E316" s="31">
        <v>638</v>
      </c>
      <c r="F316" s="31">
        <v>583683</v>
      </c>
      <c r="G316" s="31">
        <v>55000</v>
      </c>
      <c r="H316" s="31">
        <v>0</v>
      </c>
      <c r="I316" s="31">
        <v>0</v>
      </c>
      <c r="J316" s="31">
        <f t="shared" ref="J316:J322" si="25">E316+F316+G316+H316-I316</f>
        <v>639321</v>
      </c>
      <c r="K316" s="103">
        <f>J316/J$143*100</f>
        <v>1.3484954107734768E-2</v>
      </c>
    </row>
    <row r="317" spans="1:11" x14ac:dyDescent="0.2">
      <c r="A317" s="99">
        <v>7501</v>
      </c>
      <c r="B317" s="100"/>
      <c r="C317" s="101" t="s">
        <v>682</v>
      </c>
      <c r="D317" s="149"/>
      <c r="E317" s="31">
        <v>1100000</v>
      </c>
      <c r="F317" s="31">
        <v>12829</v>
      </c>
      <c r="G317" s="31">
        <v>0</v>
      </c>
      <c r="H317" s="31">
        <v>0</v>
      </c>
      <c r="I317" s="31">
        <v>0</v>
      </c>
      <c r="J317" s="31">
        <f t="shared" si="25"/>
        <v>1112829</v>
      </c>
      <c r="K317" s="103">
        <f>J317/J$143*100</f>
        <v>2.3472477823747968E-2</v>
      </c>
    </row>
    <row r="318" spans="1:11" x14ac:dyDescent="0.2">
      <c r="A318" s="99">
        <v>7502</v>
      </c>
      <c r="B318" s="100"/>
      <c r="C318" s="101" t="s">
        <v>684</v>
      </c>
      <c r="D318" s="149"/>
      <c r="E318" s="31">
        <v>3487429</v>
      </c>
      <c r="F318" s="31">
        <v>713182</v>
      </c>
      <c r="G318" s="31">
        <v>0</v>
      </c>
      <c r="H318" s="31">
        <v>0</v>
      </c>
      <c r="I318" s="31">
        <v>0</v>
      </c>
      <c r="J318" s="31">
        <f t="shared" si="25"/>
        <v>4200611</v>
      </c>
      <c r="K318" s="103">
        <f>J318/J$143*100</f>
        <v>8.8601886312894243E-2</v>
      </c>
    </row>
    <row r="319" spans="1:11" x14ac:dyDescent="0.2">
      <c r="A319" s="99">
        <v>7503</v>
      </c>
      <c r="B319" s="100"/>
      <c r="C319" s="101" t="s">
        <v>686</v>
      </c>
      <c r="D319" s="149"/>
      <c r="E319" s="31">
        <v>0</v>
      </c>
      <c r="F319" s="31">
        <v>404555</v>
      </c>
      <c r="G319" s="31">
        <v>0</v>
      </c>
      <c r="H319" s="31">
        <v>0</v>
      </c>
      <c r="I319" s="31">
        <v>0</v>
      </c>
      <c r="J319" s="31">
        <f t="shared" si="25"/>
        <v>404555</v>
      </c>
      <c r="K319" s="103">
        <f>J319/J$143*100</f>
        <v>8.5331243757903151E-3</v>
      </c>
    </row>
    <row r="320" spans="1:11" x14ac:dyDescent="0.2">
      <c r="A320" s="106">
        <v>7504</v>
      </c>
      <c r="B320" s="107"/>
      <c r="C320" s="108" t="s">
        <v>688</v>
      </c>
      <c r="D320" s="153"/>
      <c r="E320" s="109">
        <v>0</v>
      </c>
      <c r="F320" s="109">
        <v>101745</v>
      </c>
      <c r="G320" s="109">
        <v>0</v>
      </c>
      <c r="H320" s="109">
        <v>0</v>
      </c>
      <c r="I320" s="109">
        <v>0</v>
      </c>
      <c r="J320" s="109">
        <f t="shared" si="25"/>
        <v>101745</v>
      </c>
      <c r="K320" s="103"/>
    </row>
    <row r="321" spans="1:11" x14ac:dyDescent="0.2">
      <c r="A321" s="106">
        <v>7506</v>
      </c>
      <c r="B321" s="107"/>
      <c r="C321" s="108" t="s">
        <v>690</v>
      </c>
      <c r="D321" s="153"/>
      <c r="E321" s="109">
        <v>0</v>
      </c>
      <c r="F321" s="109">
        <v>0</v>
      </c>
      <c r="G321" s="109">
        <v>0</v>
      </c>
      <c r="H321" s="117">
        <v>718465</v>
      </c>
      <c r="I321" s="109">
        <f>E321+F321+G321+H321</f>
        <v>718465</v>
      </c>
      <c r="J321" s="109">
        <f t="shared" si="25"/>
        <v>0</v>
      </c>
      <c r="K321" s="104"/>
    </row>
    <row r="322" spans="1:11" x14ac:dyDescent="0.2">
      <c r="A322" s="99">
        <v>7505</v>
      </c>
      <c r="B322" s="100"/>
      <c r="C322" s="101" t="s">
        <v>692</v>
      </c>
      <c r="D322" s="149"/>
      <c r="E322" s="31">
        <v>0</v>
      </c>
      <c r="F322" s="31">
        <v>0</v>
      </c>
      <c r="G322" s="31">
        <v>0</v>
      </c>
      <c r="H322" s="31">
        <v>0</v>
      </c>
      <c r="I322" s="31"/>
      <c r="J322" s="31">
        <f t="shared" si="25"/>
        <v>0</v>
      </c>
      <c r="K322" s="104"/>
    </row>
    <row r="323" spans="1:11" x14ac:dyDescent="0.2">
      <c r="A323" s="82"/>
      <c r="B323" s="94"/>
      <c r="C323" s="95"/>
      <c r="D323" s="145"/>
      <c r="E323" s="34"/>
      <c r="F323" s="34"/>
      <c r="G323" s="34"/>
      <c r="H323" s="34"/>
      <c r="I323" s="34"/>
      <c r="J323" s="34"/>
      <c r="K323" s="105"/>
    </row>
    <row r="324" spans="1:11" x14ac:dyDescent="0.2">
      <c r="A324" s="99">
        <v>751</v>
      </c>
      <c r="B324" s="100"/>
      <c r="C324" s="101" t="s">
        <v>676</v>
      </c>
      <c r="D324" s="149"/>
      <c r="E324" s="31">
        <f>SUM(E325:E327)</f>
        <v>31953045</v>
      </c>
      <c r="F324" s="31">
        <f>SUM(F325:F327)</f>
        <v>551880.5</v>
      </c>
      <c r="G324" s="31">
        <f>SUM(G325:G327)</f>
        <v>0</v>
      </c>
      <c r="H324" s="31">
        <v>0</v>
      </c>
      <c r="I324" s="31">
        <f>SUM(I325:I327)</f>
        <v>0</v>
      </c>
      <c r="J324" s="31">
        <f>SUM(J325:J327)</f>
        <v>32504925.5</v>
      </c>
      <c r="K324" s="103">
        <f>J324/J$143*100</f>
        <v>0.68561400085846957</v>
      </c>
    </row>
    <row r="325" spans="1:11" x14ac:dyDescent="0.2">
      <c r="A325" s="99">
        <v>7510</v>
      </c>
      <c r="B325" s="100"/>
      <c r="C325" s="101" t="s">
        <v>694</v>
      </c>
      <c r="D325" s="149"/>
      <c r="E325" s="31">
        <v>31953045</v>
      </c>
      <c r="F325" s="31">
        <v>158168</v>
      </c>
      <c r="G325" s="31">
        <v>0</v>
      </c>
      <c r="H325" s="31">
        <v>0</v>
      </c>
      <c r="I325" s="31">
        <v>0</v>
      </c>
      <c r="J325" s="31">
        <f>E325+F325+G325+H325-I325</f>
        <v>32111213</v>
      </c>
      <c r="K325" s="103">
        <f>J325/J$143*100</f>
        <v>0.67730957320140606</v>
      </c>
    </row>
    <row r="326" spans="1:11" x14ac:dyDescent="0.2">
      <c r="A326" s="99">
        <v>7511</v>
      </c>
      <c r="B326" s="100"/>
      <c r="C326" s="101" t="s">
        <v>696</v>
      </c>
      <c r="D326" s="149"/>
      <c r="E326" s="31">
        <v>0</v>
      </c>
      <c r="F326" s="31">
        <v>54011</v>
      </c>
      <c r="G326" s="31">
        <v>0</v>
      </c>
      <c r="H326" s="31">
        <v>0</v>
      </c>
      <c r="I326" s="31">
        <v>0</v>
      </c>
      <c r="J326" s="31">
        <f>E326+F326+G326+H326-I326</f>
        <v>54011</v>
      </c>
      <c r="K326" s="103">
        <f>J326/J$143*100</f>
        <v>1.1392334309570037E-3</v>
      </c>
    </row>
    <row r="327" spans="1:11" x14ac:dyDescent="0.2">
      <c r="A327" s="99">
        <v>7512</v>
      </c>
      <c r="B327" s="100"/>
      <c r="C327" s="101" t="s">
        <v>698</v>
      </c>
      <c r="D327" s="149"/>
      <c r="E327" s="31">
        <v>0</v>
      </c>
      <c r="F327" s="31">
        <v>339701.5</v>
      </c>
      <c r="G327" s="31">
        <v>0</v>
      </c>
      <c r="H327" s="31">
        <v>0</v>
      </c>
      <c r="I327" s="31">
        <v>0</v>
      </c>
      <c r="J327" s="31">
        <f>E327+F327+G327+H327-I327</f>
        <v>339701.5</v>
      </c>
      <c r="K327" s="103">
        <f>J327/J$143*100</f>
        <v>7.1651942261065447E-3</v>
      </c>
    </row>
    <row r="328" spans="1:11" x14ac:dyDescent="0.2">
      <c r="A328" s="82"/>
      <c r="B328" s="94"/>
      <c r="C328" s="95"/>
      <c r="D328" s="145"/>
      <c r="E328" s="34"/>
      <c r="F328" s="34"/>
      <c r="G328" s="34"/>
      <c r="H328" s="34"/>
      <c r="I328" s="34"/>
      <c r="J328" s="34"/>
      <c r="K328" s="150"/>
    </row>
    <row r="329" spans="1:11" x14ac:dyDescent="0.2">
      <c r="A329" s="99">
        <v>752</v>
      </c>
      <c r="B329" s="100"/>
      <c r="C329" s="101" t="s">
        <v>700</v>
      </c>
      <c r="D329" s="149"/>
      <c r="E329" s="31">
        <f>E330</f>
        <v>3000000</v>
      </c>
      <c r="F329" s="31">
        <f>F330</f>
        <v>0</v>
      </c>
      <c r="G329" s="31">
        <f>G330</f>
        <v>0</v>
      </c>
      <c r="H329" s="31">
        <f>H330</f>
        <v>0</v>
      </c>
      <c r="I329" s="31">
        <f>I330</f>
        <v>0</v>
      </c>
      <c r="J329" s="31">
        <f>E329+F329+G329+H329</f>
        <v>3000000</v>
      </c>
      <c r="K329" s="103">
        <f>J329/J$143*100</f>
        <v>6.3277856230601379E-2</v>
      </c>
    </row>
    <row r="330" spans="1:11" x14ac:dyDescent="0.2">
      <c r="A330" s="99">
        <v>7520</v>
      </c>
      <c r="B330" s="100"/>
      <c r="C330" s="101" t="s">
        <v>102</v>
      </c>
      <c r="D330" s="149"/>
      <c r="E330" s="31">
        <v>3000000</v>
      </c>
      <c r="F330" s="31">
        <v>0</v>
      </c>
      <c r="G330" s="31">
        <v>0</v>
      </c>
      <c r="H330" s="31">
        <v>0</v>
      </c>
      <c r="I330" s="31">
        <v>0</v>
      </c>
      <c r="J330" s="31">
        <f>E330+F330+G330+H330-I330</f>
        <v>3000000</v>
      </c>
      <c r="K330" s="103">
        <f>J330/J$143*100</f>
        <v>6.3277856230601379E-2</v>
      </c>
    </row>
    <row r="331" spans="1:11" ht="15.75" thickBot="1" x14ac:dyDescent="0.25">
      <c r="A331" s="120"/>
      <c r="B331" s="121"/>
      <c r="C331" s="122"/>
      <c r="D331" s="160"/>
      <c r="E331" s="161"/>
      <c r="F331" s="161"/>
      <c r="G331" s="161"/>
      <c r="H331" s="161"/>
      <c r="I331" s="161"/>
      <c r="J331" s="161"/>
      <c r="K331" s="166"/>
    </row>
    <row r="332" spans="1:11" ht="15.75" thickTop="1" x14ac:dyDescent="0.2">
      <c r="A332" s="135"/>
      <c r="B332" s="136"/>
      <c r="C332" s="137"/>
      <c r="D332" s="163"/>
      <c r="E332" s="164"/>
      <c r="F332" s="164"/>
      <c r="G332" s="164"/>
      <c r="H332" s="164"/>
      <c r="I332" s="164"/>
      <c r="J332" s="164"/>
      <c r="K332" s="198"/>
    </row>
    <row r="333" spans="1:11" s="6" customFormat="1" ht="15.75" x14ac:dyDescent="0.25">
      <c r="A333" s="69"/>
      <c r="B333" s="70" t="s">
        <v>104</v>
      </c>
      <c r="C333" s="77" t="s">
        <v>105</v>
      </c>
      <c r="D333" s="142"/>
      <c r="E333" s="73"/>
      <c r="F333" s="73"/>
      <c r="G333" s="73"/>
      <c r="H333" s="73"/>
      <c r="I333" s="73"/>
      <c r="J333" s="73"/>
      <c r="K333" s="93"/>
    </row>
    <row r="334" spans="1:11" s="6" customFormat="1" ht="15.75" x14ac:dyDescent="0.25">
      <c r="A334" s="69"/>
      <c r="B334" s="70"/>
      <c r="C334" s="77" t="s">
        <v>107</v>
      </c>
      <c r="D334" s="142"/>
      <c r="E334" s="73">
        <f t="shared" ref="E334:J334" si="26">E336+E345+E353</f>
        <v>46541112</v>
      </c>
      <c r="F334" s="73">
        <f t="shared" si="26"/>
        <v>2026778</v>
      </c>
      <c r="G334" s="73">
        <f t="shared" si="26"/>
        <v>0</v>
      </c>
      <c r="H334" s="73">
        <f t="shared" si="26"/>
        <v>0</v>
      </c>
      <c r="I334" s="73">
        <f t="shared" si="26"/>
        <v>0</v>
      </c>
      <c r="J334" s="199">
        <f t="shared" si="26"/>
        <v>48567890</v>
      </c>
      <c r="K334" s="197">
        <f>J334/J$143*100</f>
        <v>1.0244239869478875</v>
      </c>
    </row>
    <row r="335" spans="1:11" x14ac:dyDescent="0.2">
      <c r="A335" s="82"/>
      <c r="B335" s="94"/>
      <c r="C335" s="95"/>
      <c r="D335" s="145"/>
      <c r="E335" s="34"/>
      <c r="F335" s="34"/>
      <c r="G335" s="34"/>
      <c r="H335" s="34"/>
      <c r="I335" s="34"/>
      <c r="J335" s="34"/>
      <c r="K335" s="105"/>
    </row>
    <row r="336" spans="1:11" x14ac:dyDescent="0.2">
      <c r="A336" s="99">
        <v>440</v>
      </c>
      <c r="B336" s="100"/>
      <c r="C336" s="101" t="s">
        <v>109</v>
      </c>
      <c r="D336" s="149"/>
      <c r="E336" s="31">
        <f t="shared" ref="E336:J336" si="27">SUM(E337:E343)</f>
        <v>5152429</v>
      </c>
      <c r="F336" s="31">
        <f t="shared" si="27"/>
        <v>1360115</v>
      </c>
      <c r="G336" s="31">
        <v>0</v>
      </c>
      <c r="H336" s="31">
        <v>0</v>
      </c>
      <c r="I336" s="31">
        <f t="shared" si="27"/>
        <v>0</v>
      </c>
      <c r="J336" s="31">
        <f t="shared" si="27"/>
        <v>6512544</v>
      </c>
      <c r="K336" s="103">
        <f t="shared" ref="K336:K343" si="28">J336/J$143*100</f>
        <v>0.13736660764248854</v>
      </c>
    </row>
    <row r="337" spans="1:11" x14ac:dyDescent="0.2">
      <c r="A337" s="99">
        <v>4400</v>
      </c>
      <c r="B337" s="100"/>
      <c r="C337" s="101" t="s">
        <v>111</v>
      </c>
      <c r="D337" s="149"/>
      <c r="E337" s="31">
        <v>285000</v>
      </c>
      <c r="F337" s="31">
        <v>107826</v>
      </c>
      <c r="G337" s="31">
        <v>0</v>
      </c>
      <c r="H337" s="31">
        <v>0</v>
      </c>
      <c r="I337" s="31">
        <v>0</v>
      </c>
      <c r="J337" s="31">
        <f t="shared" ref="J337:J343" si="29">E337+F337+G337+H337</f>
        <v>392826</v>
      </c>
      <c r="K337" s="103">
        <f t="shared" si="28"/>
        <v>8.2857290505474052E-3</v>
      </c>
    </row>
    <row r="338" spans="1:11" x14ac:dyDescent="0.2">
      <c r="A338" s="99">
        <v>4401</v>
      </c>
      <c r="B338" s="100"/>
      <c r="C338" s="101" t="s">
        <v>113</v>
      </c>
      <c r="D338" s="149"/>
      <c r="E338" s="31">
        <v>0</v>
      </c>
      <c r="F338" s="31">
        <v>6300</v>
      </c>
      <c r="G338" s="31">
        <v>0</v>
      </c>
      <c r="H338" s="31">
        <v>0</v>
      </c>
      <c r="I338" s="31">
        <v>0</v>
      </c>
      <c r="J338" s="31">
        <f t="shared" si="29"/>
        <v>6300</v>
      </c>
      <c r="K338" s="103">
        <f t="shared" si="28"/>
        <v>1.3288349808426289E-4</v>
      </c>
    </row>
    <row r="339" spans="1:11" x14ac:dyDescent="0.2">
      <c r="A339" s="99">
        <v>4402</v>
      </c>
      <c r="B339" s="100"/>
      <c r="C339" s="101" t="s">
        <v>115</v>
      </c>
      <c r="D339" s="149"/>
      <c r="E339" s="31">
        <v>0</v>
      </c>
      <c r="F339" s="31">
        <v>42591</v>
      </c>
      <c r="G339" s="31">
        <v>0</v>
      </c>
      <c r="H339" s="31">
        <v>0</v>
      </c>
      <c r="I339" s="31">
        <v>0</v>
      </c>
      <c r="J339" s="31">
        <f t="shared" si="29"/>
        <v>42591</v>
      </c>
      <c r="K339" s="103">
        <f t="shared" si="28"/>
        <v>8.9835572490584779E-4</v>
      </c>
    </row>
    <row r="340" spans="1:11" x14ac:dyDescent="0.2">
      <c r="A340" s="99">
        <v>4403</v>
      </c>
      <c r="B340" s="100"/>
      <c r="C340" s="101" t="s">
        <v>117</v>
      </c>
      <c r="D340" s="149"/>
      <c r="E340" s="31">
        <v>0</v>
      </c>
      <c r="F340" s="31">
        <v>761090</v>
      </c>
      <c r="G340" s="31">
        <v>0</v>
      </c>
      <c r="H340" s="31">
        <v>0</v>
      </c>
      <c r="I340" s="31">
        <v>0</v>
      </c>
      <c r="J340" s="31">
        <f t="shared" si="29"/>
        <v>761090</v>
      </c>
      <c r="K340" s="103">
        <f t="shared" si="28"/>
        <v>1.6053381199516135E-2</v>
      </c>
    </row>
    <row r="341" spans="1:11" x14ac:dyDescent="0.2">
      <c r="A341" s="99">
        <v>4404</v>
      </c>
      <c r="B341" s="100"/>
      <c r="C341" s="101" t="s">
        <v>119</v>
      </c>
      <c r="D341" s="149"/>
      <c r="E341" s="31">
        <v>4867429</v>
      </c>
      <c r="F341" s="31">
        <v>255346</v>
      </c>
      <c r="G341" s="31">
        <v>0</v>
      </c>
      <c r="H341" s="31">
        <v>0</v>
      </c>
      <c r="I341" s="31">
        <v>0</v>
      </c>
      <c r="J341" s="31">
        <f t="shared" si="29"/>
        <v>5122775</v>
      </c>
      <c r="K341" s="103">
        <f t="shared" si="28"/>
        <v>0.10805273998390633</v>
      </c>
    </row>
    <row r="342" spans="1:11" x14ac:dyDescent="0.2">
      <c r="A342" s="106">
        <v>4405</v>
      </c>
      <c r="B342" s="107"/>
      <c r="C342" s="108" t="s">
        <v>121</v>
      </c>
      <c r="D342" s="153"/>
      <c r="E342" s="109">
        <v>0</v>
      </c>
      <c r="F342" s="109">
        <v>186962</v>
      </c>
      <c r="G342" s="109">
        <v>0</v>
      </c>
      <c r="H342" s="109">
        <v>0</v>
      </c>
      <c r="I342" s="109">
        <v>0</v>
      </c>
      <c r="J342" s="109">
        <f t="shared" si="29"/>
        <v>186962</v>
      </c>
      <c r="K342" s="103">
        <f t="shared" si="28"/>
        <v>3.9435181855285648E-3</v>
      </c>
    </row>
    <row r="343" spans="1:11" x14ac:dyDescent="0.2">
      <c r="A343" s="99">
        <v>4406</v>
      </c>
      <c r="B343" s="100"/>
      <c r="C343" s="101" t="s">
        <v>123</v>
      </c>
      <c r="D343" s="149"/>
      <c r="E343" s="31">
        <v>0</v>
      </c>
      <c r="F343" s="31">
        <v>0</v>
      </c>
      <c r="G343" s="31">
        <v>0</v>
      </c>
      <c r="H343" s="31">
        <v>0</v>
      </c>
      <c r="I343" s="31"/>
      <c r="J343" s="31">
        <f t="shared" si="29"/>
        <v>0</v>
      </c>
      <c r="K343" s="103">
        <f t="shared" si="28"/>
        <v>0</v>
      </c>
    </row>
    <row r="344" spans="1:11" x14ac:dyDescent="0.2">
      <c r="A344" s="82"/>
      <c r="B344" s="94"/>
      <c r="C344" s="95"/>
      <c r="D344" s="145"/>
      <c r="E344" s="34"/>
      <c r="F344" s="34"/>
      <c r="G344" s="34"/>
      <c r="H344" s="34"/>
      <c r="I344" s="34"/>
      <c r="J344" s="34"/>
      <c r="K344" s="105"/>
    </row>
    <row r="345" spans="1:11" x14ac:dyDescent="0.2">
      <c r="A345" s="99">
        <v>441</v>
      </c>
      <c r="B345" s="100"/>
      <c r="C345" s="101" t="s">
        <v>125</v>
      </c>
      <c r="D345" s="149"/>
      <c r="E345" s="31">
        <f>SUM(E346:E350)</f>
        <v>38388683</v>
      </c>
      <c r="F345" s="31">
        <f>SUM(F346:F350)</f>
        <v>666663</v>
      </c>
      <c r="G345" s="31">
        <v>0</v>
      </c>
      <c r="H345" s="31">
        <v>0</v>
      </c>
      <c r="I345" s="31">
        <f>SUM(I346:I350)</f>
        <v>0</v>
      </c>
      <c r="J345" s="31">
        <f>SUM(J346:J350)</f>
        <v>39055346</v>
      </c>
      <c r="K345" s="103">
        <f t="shared" ref="K345:K351" si="30">J345/J$143*100</f>
        <v>0.82377952307479752</v>
      </c>
    </row>
    <row r="346" spans="1:11" x14ac:dyDescent="0.2">
      <c r="A346" s="99">
        <v>4410</v>
      </c>
      <c r="B346" s="100"/>
      <c r="C346" s="101" t="s">
        <v>701</v>
      </c>
      <c r="D346" s="149"/>
      <c r="E346" s="31">
        <v>29540000</v>
      </c>
      <c r="F346" s="31">
        <v>160623</v>
      </c>
      <c r="G346" s="31">
        <v>0</v>
      </c>
      <c r="H346" s="31">
        <v>0</v>
      </c>
      <c r="I346" s="31">
        <v>0</v>
      </c>
      <c r="J346" s="31">
        <f t="shared" ref="J346:J351" si="31">E346+F346+G346+H346</f>
        <v>29700623</v>
      </c>
      <c r="K346" s="103">
        <f t="shared" si="30"/>
        <v>0.62646391738443097</v>
      </c>
    </row>
    <row r="347" spans="1:11" x14ac:dyDescent="0.2">
      <c r="A347" s="99">
        <v>4411</v>
      </c>
      <c r="B347" s="100"/>
      <c r="C347" s="101" t="s">
        <v>703</v>
      </c>
      <c r="D347" s="149"/>
      <c r="E347" s="31">
        <v>8690440</v>
      </c>
      <c r="F347" s="31">
        <v>5600</v>
      </c>
      <c r="G347" s="31">
        <v>0</v>
      </c>
      <c r="H347" s="31">
        <v>0</v>
      </c>
      <c r="I347" s="31">
        <v>0</v>
      </c>
      <c r="J347" s="31">
        <f t="shared" si="31"/>
        <v>8696040</v>
      </c>
      <c r="K347" s="103">
        <f t="shared" si="30"/>
        <v>0.1834222562985196</v>
      </c>
    </row>
    <row r="348" spans="1:11" x14ac:dyDescent="0.2">
      <c r="A348" s="99">
        <v>4412</v>
      </c>
      <c r="B348" s="100"/>
      <c r="C348" s="101" t="s">
        <v>705</v>
      </c>
      <c r="D348" s="149"/>
      <c r="E348" s="31">
        <v>0</v>
      </c>
      <c r="F348" s="31">
        <v>350000</v>
      </c>
      <c r="G348" s="31">
        <v>0</v>
      </c>
      <c r="H348" s="31">
        <v>0</v>
      </c>
      <c r="I348" s="31">
        <v>0</v>
      </c>
      <c r="J348" s="31">
        <f t="shared" si="31"/>
        <v>350000</v>
      </c>
      <c r="K348" s="103">
        <f t="shared" si="30"/>
        <v>7.3824165602368276E-3</v>
      </c>
    </row>
    <row r="349" spans="1:11" x14ac:dyDescent="0.2">
      <c r="A349" s="99">
        <v>4413</v>
      </c>
      <c r="B349" s="100"/>
      <c r="C349" s="101" t="s">
        <v>707</v>
      </c>
      <c r="D349" s="149"/>
      <c r="E349" s="31">
        <v>0</v>
      </c>
      <c r="F349" s="31">
        <v>150000</v>
      </c>
      <c r="G349" s="31">
        <v>0</v>
      </c>
      <c r="H349" s="31">
        <v>0</v>
      </c>
      <c r="I349" s="31">
        <v>0</v>
      </c>
      <c r="J349" s="31">
        <f t="shared" si="31"/>
        <v>150000</v>
      </c>
      <c r="K349" s="103">
        <f t="shared" si="30"/>
        <v>3.163892811530069E-3</v>
      </c>
    </row>
    <row r="350" spans="1:11" x14ac:dyDescent="0.2">
      <c r="A350" s="99">
        <v>4414</v>
      </c>
      <c r="B350" s="100"/>
      <c r="C350" s="101" t="s">
        <v>709</v>
      </c>
      <c r="D350" s="149"/>
      <c r="E350" s="31">
        <v>158243</v>
      </c>
      <c r="F350" s="31">
        <v>440</v>
      </c>
      <c r="G350" s="31">
        <v>0</v>
      </c>
      <c r="H350" s="31">
        <v>0</v>
      </c>
      <c r="I350" s="31">
        <v>0</v>
      </c>
      <c r="J350" s="31">
        <f t="shared" si="31"/>
        <v>158683</v>
      </c>
      <c r="K350" s="103">
        <f t="shared" si="30"/>
        <v>3.3470400200801727E-3</v>
      </c>
    </row>
    <row r="351" spans="1:11" x14ac:dyDescent="0.2">
      <c r="A351" s="99">
        <v>4415</v>
      </c>
      <c r="B351" s="100"/>
      <c r="C351" s="101" t="s">
        <v>835</v>
      </c>
      <c r="D351" s="149"/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f t="shared" si="31"/>
        <v>0</v>
      </c>
      <c r="K351" s="103">
        <f t="shared" si="30"/>
        <v>0</v>
      </c>
    </row>
    <row r="352" spans="1:11" x14ac:dyDescent="0.2">
      <c r="A352" s="82"/>
      <c r="B352" s="94"/>
      <c r="C352" s="95"/>
      <c r="D352" s="145"/>
      <c r="E352" s="34"/>
      <c r="F352" s="34"/>
      <c r="G352" s="34"/>
      <c r="H352" s="34"/>
      <c r="I352" s="34"/>
      <c r="J352" s="34"/>
      <c r="K352" s="150"/>
    </row>
    <row r="353" spans="1:11" x14ac:dyDescent="0.2">
      <c r="A353" s="99">
        <v>442</v>
      </c>
      <c r="B353" s="100"/>
      <c r="C353" s="101" t="s">
        <v>711</v>
      </c>
      <c r="D353" s="149"/>
      <c r="E353" s="31">
        <f>SUM(E354:E356)</f>
        <v>3000000</v>
      </c>
      <c r="F353" s="31">
        <f>F354+F355</f>
        <v>0</v>
      </c>
      <c r="G353" s="31">
        <v>0</v>
      </c>
      <c r="H353" s="31">
        <f>H354+H355</f>
        <v>0</v>
      </c>
      <c r="I353" s="31">
        <f>I354+I355</f>
        <v>0</v>
      </c>
      <c r="J353" s="31">
        <f>SUM(J354:J356)</f>
        <v>3000000</v>
      </c>
      <c r="K353" s="103">
        <f>J353/J$143*100</f>
        <v>6.3277856230601379E-2</v>
      </c>
    </row>
    <row r="354" spans="1:11" x14ac:dyDescent="0.2">
      <c r="A354" s="99">
        <v>4420</v>
      </c>
      <c r="B354" s="100"/>
      <c r="C354" s="101" t="s">
        <v>713</v>
      </c>
      <c r="D354" s="149"/>
      <c r="E354" s="31">
        <v>465000</v>
      </c>
      <c r="F354" s="31">
        <v>0</v>
      </c>
      <c r="G354" s="31">
        <v>0</v>
      </c>
      <c r="H354" s="31">
        <v>0</v>
      </c>
      <c r="I354" s="31">
        <v>0</v>
      </c>
      <c r="J354" s="31">
        <f>E354+F354+G354+H354</f>
        <v>465000</v>
      </c>
      <c r="K354" s="103">
        <f>J354/J$143*100</f>
        <v>9.8080677157432149E-3</v>
      </c>
    </row>
    <row r="355" spans="1:11" x14ac:dyDescent="0.2">
      <c r="A355" s="99">
        <v>4421</v>
      </c>
      <c r="B355" s="100"/>
      <c r="C355" s="101" t="s">
        <v>715</v>
      </c>
      <c r="D355" s="149"/>
      <c r="E355" s="31">
        <v>2355000</v>
      </c>
      <c r="F355" s="31">
        <v>0</v>
      </c>
      <c r="G355" s="31">
        <v>0</v>
      </c>
      <c r="H355" s="31">
        <v>0</v>
      </c>
      <c r="I355" s="31">
        <v>0</v>
      </c>
      <c r="J355" s="31">
        <f>E355+F355+G355+H355</f>
        <v>2355000</v>
      </c>
      <c r="K355" s="103">
        <f>J355/J$143*100</f>
        <v>4.9673117141022079E-2</v>
      </c>
    </row>
    <row r="356" spans="1:11" x14ac:dyDescent="0.2">
      <c r="A356" s="99">
        <v>4422</v>
      </c>
      <c r="B356" s="100"/>
      <c r="C356" s="101" t="s">
        <v>824</v>
      </c>
      <c r="D356" s="149"/>
      <c r="E356" s="31">
        <v>180000</v>
      </c>
      <c r="F356" s="31">
        <v>0</v>
      </c>
      <c r="G356" s="31">
        <v>0</v>
      </c>
      <c r="H356" s="31">
        <v>0</v>
      </c>
      <c r="I356" s="31">
        <v>0</v>
      </c>
      <c r="J356" s="31">
        <f>E356+F356+G356+H356</f>
        <v>180000</v>
      </c>
      <c r="K356" s="103">
        <f>J356/J$143*100</f>
        <v>3.7966713738360829E-3</v>
      </c>
    </row>
    <row r="357" spans="1:11" ht="15.75" thickBot="1" x14ac:dyDescent="0.25">
      <c r="A357" s="120"/>
      <c r="B357" s="121"/>
      <c r="C357" s="122"/>
      <c r="D357" s="160"/>
      <c r="E357" s="161"/>
      <c r="F357" s="161"/>
      <c r="G357" s="161"/>
      <c r="H357" s="161"/>
      <c r="I357" s="161"/>
      <c r="J357" s="161"/>
      <c r="K357" s="166"/>
    </row>
    <row r="358" spans="1:11" ht="15.75" thickTop="1" x14ac:dyDescent="0.2">
      <c r="A358" s="135"/>
      <c r="B358" s="136"/>
      <c r="C358" s="137"/>
      <c r="D358" s="163"/>
      <c r="E358" s="164"/>
      <c r="F358" s="164"/>
      <c r="G358" s="164"/>
      <c r="H358" s="164"/>
      <c r="I358" s="164"/>
      <c r="J358" s="164"/>
      <c r="K358" s="198"/>
    </row>
    <row r="359" spans="1:11" s="6" customFormat="1" ht="15.75" x14ac:dyDescent="0.25">
      <c r="A359" s="69"/>
      <c r="B359" s="70" t="s">
        <v>717</v>
      </c>
      <c r="C359" s="77" t="s">
        <v>718</v>
      </c>
      <c r="D359" s="142"/>
      <c r="E359" s="73">
        <f t="shared" ref="E359:J359" si="32">E313-E334</f>
        <v>-7000000</v>
      </c>
      <c r="F359" s="73">
        <f t="shared" si="32"/>
        <v>341096.5</v>
      </c>
      <c r="G359" s="73">
        <f t="shared" si="32"/>
        <v>55000</v>
      </c>
      <c r="H359" s="73">
        <f t="shared" si="32"/>
        <v>718465</v>
      </c>
      <c r="I359" s="73">
        <f t="shared" si="32"/>
        <v>718465</v>
      </c>
      <c r="J359" s="199">
        <f t="shared" si="32"/>
        <v>-6603903.5</v>
      </c>
      <c r="K359" s="197">
        <f>J359/J$143*100</f>
        <v>-0.13929361874458843</v>
      </c>
    </row>
    <row r="360" spans="1:11" s="6" customFormat="1" ht="15.75" x14ac:dyDescent="0.25">
      <c r="A360" s="69"/>
      <c r="B360" s="70"/>
      <c r="C360" s="77" t="s">
        <v>719</v>
      </c>
      <c r="D360" s="142"/>
      <c r="E360" s="73"/>
      <c r="F360" s="73"/>
      <c r="G360" s="73"/>
      <c r="H360" s="73"/>
      <c r="I360" s="73"/>
      <c r="J360" s="175"/>
      <c r="K360" s="93"/>
    </row>
    <row r="361" spans="1:11" s="6" customFormat="1" ht="15.75" x14ac:dyDescent="0.25">
      <c r="A361" s="88"/>
      <c r="B361" s="89"/>
      <c r="C361" s="90" t="s">
        <v>721</v>
      </c>
      <c r="D361" s="146"/>
      <c r="E361" s="32"/>
      <c r="F361" s="32"/>
      <c r="G361" s="32"/>
      <c r="H361" s="32"/>
      <c r="I361" s="32"/>
      <c r="J361" s="29"/>
      <c r="K361" s="93"/>
    </row>
    <row r="362" spans="1:11" ht="15.75" thickBot="1" x14ac:dyDescent="0.25">
      <c r="A362" s="178"/>
      <c r="B362" s="179"/>
      <c r="C362" s="180"/>
      <c r="D362" s="181"/>
      <c r="E362" s="182"/>
      <c r="F362" s="182"/>
      <c r="G362" s="182"/>
      <c r="H362" s="182"/>
      <c r="I362" s="182"/>
      <c r="J362" s="182"/>
      <c r="K362" s="200"/>
    </row>
    <row r="363" spans="1:11" ht="15.75" thickTop="1" x14ac:dyDescent="0.2">
      <c r="A363" s="53"/>
      <c r="B363" s="53"/>
      <c r="C363" s="54"/>
      <c r="D363" s="54"/>
      <c r="E363" s="51"/>
      <c r="F363" s="51"/>
      <c r="G363" s="51"/>
      <c r="H363" s="51"/>
      <c r="I363" s="51"/>
      <c r="J363" s="51"/>
      <c r="K363" s="51"/>
    </row>
    <row r="364" spans="1:11" x14ac:dyDescent="0.2">
      <c r="A364" s="53"/>
      <c r="B364" s="53"/>
      <c r="C364" s="54"/>
      <c r="D364" s="54"/>
      <c r="E364" s="51"/>
      <c r="F364" s="51"/>
      <c r="G364" s="51"/>
      <c r="H364" s="51"/>
      <c r="I364" s="51"/>
      <c r="J364" s="51"/>
      <c r="K364" s="51"/>
    </row>
    <row r="365" spans="1:11" x14ac:dyDescent="0.2">
      <c r="A365" s="53"/>
      <c r="B365" s="53"/>
      <c r="C365" s="54"/>
      <c r="D365" s="54"/>
      <c r="E365" s="51"/>
      <c r="F365" s="51"/>
      <c r="G365" s="51"/>
      <c r="H365" s="51"/>
      <c r="I365" s="51"/>
      <c r="J365" s="51"/>
      <c r="K365" s="51"/>
    </row>
    <row r="366" spans="1:11" ht="23.25" x14ac:dyDescent="0.35">
      <c r="A366" s="201"/>
      <c r="B366" s="237" t="s">
        <v>791</v>
      </c>
      <c r="C366" s="239" t="s">
        <v>792</v>
      </c>
      <c r="D366" s="262" t="s">
        <v>844</v>
      </c>
      <c r="E366" s="238"/>
      <c r="F366" s="263"/>
      <c r="G366" s="263"/>
      <c r="H366" s="263"/>
      <c r="I366" s="9"/>
      <c r="J366" s="9"/>
      <c r="K366" s="9"/>
    </row>
    <row r="367" spans="1:11" x14ac:dyDescent="0.2">
      <c r="A367" s="53"/>
      <c r="B367" s="53"/>
      <c r="C367" s="54"/>
      <c r="D367" s="54"/>
      <c r="E367" s="51"/>
      <c r="F367" s="51"/>
      <c r="G367" s="51"/>
      <c r="H367" s="51"/>
      <c r="I367" s="51"/>
      <c r="J367" s="51"/>
      <c r="K367" s="51"/>
    </row>
    <row r="368" spans="1:11" ht="16.5" thickBot="1" x14ac:dyDescent="0.3">
      <c r="A368" s="305"/>
      <c r="B368" s="305"/>
      <c r="C368" s="346"/>
      <c r="D368" s="346"/>
      <c r="E368" s="241"/>
      <c r="F368" s="241"/>
      <c r="G368" s="241"/>
      <c r="H368" s="241"/>
      <c r="I368" s="55" t="s">
        <v>208</v>
      </c>
      <c r="J368" s="55"/>
      <c r="K368" s="241"/>
    </row>
    <row r="369" spans="1:11" s="50" customFormat="1" ht="16.5" thickTop="1" x14ac:dyDescent="0.25">
      <c r="A369" s="306"/>
      <c r="B369" s="317"/>
      <c r="C369" s="347"/>
      <c r="D369" s="373"/>
      <c r="E369" s="334"/>
      <c r="F369" s="335"/>
      <c r="G369" s="335"/>
      <c r="H369" s="335"/>
      <c r="I369" s="335"/>
      <c r="J369" s="339"/>
      <c r="K369" s="276"/>
    </row>
    <row r="370" spans="1:11" s="50" customFormat="1" ht="20.25" x14ac:dyDescent="0.3">
      <c r="A370" s="307"/>
      <c r="B370" s="242"/>
      <c r="C370" s="345"/>
      <c r="D370" s="374"/>
      <c r="E370" s="336" t="s">
        <v>839</v>
      </c>
      <c r="F370" s="337"/>
      <c r="G370" s="337"/>
      <c r="H370" s="337"/>
      <c r="I370" s="337"/>
      <c r="J370" s="340"/>
      <c r="K370" s="277" t="s">
        <v>209</v>
      </c>
    </row>
    <row r="371" spans="1:11" s="50" customFormat="1" ht="15.75" x14ac:dyDescent="0.25">
      <c r="A371" s="307"/>
      <c r="B371" s="242"/>
      <c r="C371" s="345"/>
      <c r="D371" s="374"/>
      <c r="E371" s="278"/>
      <c r="F371" s="279"/>
      <c r="G371" s="280"/>
      <c r="H371" s="281"/>
      <c r="I371" s="282" t="s">
        <v>210</v>
      </c>
      <c r="J371" s="282" t="s">
        <v>211</v>
      </c>
      <c r="K371" s="277" t="s">
        <v>212</v>
      </c>
    </row>
    <row r="372" spans="1:11" s="50" customFormat="1" ht="15.75" x14ac:dyDescent="0.25">
      <c r="A372" s="329" t="s">
        <v>213</v>
      </c>
      <c r="B372" s="242"/>
      <c r="C372" s="345"/>
      <c r="D372" s="374"/>
      <c r="E372" s="283" t="s">
        <v>214</v>
      </c>
      <c r="F372" s="284" t="s">
        <v>215</v>
      </c>
      <c r="G372" s="288" t="s">
        <v>216</v>
      </c>
      <c r="H372" s="289" t="s">
        <v>217</v>
      </c>
      <c r="I372" s="285" t="s">
        <v>218</v>
      </c>
      <c r="J372" s="285" t="s">
        <v>219</v>
      </c>
      <c r="K372" s="277" t="s">
        <v>220</v>
      </c>
    </row>
    <row r="373" spans="1:11" s="50" customFormat="1" ht="15.75" x14ac:dyDescent="0.25">
      <c r="A373" s="307"/>
      <c r="B373" s="242"/>
      <c r="C373" s="345"/>
      <c r="D373" s="374"/>
      <c r="E373" s="283" t="s">
        <v>221</v>
      </c>
      <c r="F373" s="284" t="s">
        <v>222</v>
      </c>
      <c r="G373" s="288"/>
      <c r="H373" s="289"/>
      <c r="I373" s="294" t="s">
        <v>223</v>
      </c>
      <c r="J373" s="285" t="s">
        <v>224</v>
      </c>
      <c r="K373" s="277" t="s">
        <v>225</v>
      </c>
    </row>
    <row r="374" spans="1:11" s="50" customFormat="1" ht="16.5" thickBot="1" x14ac:dyDescent="0.3">
      <c r="A374" s="308"/>
      <c r="B374" s="243"/>
      <c r="C374" s="346"/>
      <c r="D374" s="375"/>
      <c r="E374" s="290"/>
      <c r="F374" s="291"/>
      <c r="G374" s="292"/>
      <c r="H374" s="293"/>
      <c r="I374" s="295" t="s">
        <v>226</v>
      </c>
      <c r="J374" s="286"/>
      <c r="K374" s="287" t="s">
        <v>228</v>
      </c>
    </row>
    <row r="375" spans="1:11" s="50" customFormat="1" ht="15.75" thickTop="1" x14ac:dyDescent="0.2">
      <c r="A375" s="57"/>
      <c r="B375" s="58"/>
      <c r="C375" s="59"/>
      <c r="D375" s="60"/>
      <c r="E375" s="260" t="s">
        <v>229</v>
      </c>
      <c r="F375" s="260" t="s">
        <v>230</v>
      </c>
      <c r="G375" s="260" t="s">
        <v>231</v>
      </c>
      <c r="H375" s="260" t="s">
        <v>232</v>
      </c>
      <c r="I375" s="260" t="s">
        <v>233</v>
      </c>
      <c r="J375" s="260" t="s">
        <v>234</v>
      </c>
      <c r="K375" s="272"/>
    </row>
    <row r="376" spans="1:11" s="6" customFormat="1" ht="15.75" x14ac:dyDescent="0.25">
      <c r="A376" s="69"/>
      <c r="B376" s="70" t="s">
        <v>830</v>
      </c>
      <c r="C376" s="77" t="s">
        <v>730</v>
      </c>
      <c r="D376" s="142"/>
      <c r="E376" s="73">
        <v>229523478</v>
      </c>
      <c r="F376" s="73">
        <f>F378+F387</f>
        <v>1975380</v>
      </c>
      <c r="G376" s="73">
        <f>G378+G387</f>
        <v>17429250</v>
      </c>
      <c r="H376" s="73">
        <f>H378+H387</f>
        <v>0</v>
      </c>
      <c r="I376" s="73">
        <v>0</v>
      </c>
      <c r="J376" s="199">
        <f>E376+F376+G376+H376</f>
        <v>248928108</v>
      </c>
      <c r="K376" s="197">
        <f>J376/J$143*100</f>
        <v>5.2505456765932044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05"/>
    </row>
    <row r="378" spans="1:11" x14ac:dyDescent="0.2">
      <c r="A378" s="99">
        <v>500</v>
      </c>
      <c r="B378" s="100"/>
      <c r="C378" s="101" t="s">
        <v>732</v>
      </c>
      <c r="D378" s="149"/>
      <c r="E378" s="202" t="s">
        <v>845</v>
      </c>
      <c r="F378" s="31">
        <v>1975380</v>
      </c>
      <c r="G378" s="31">
        <v>17429250</v>
      </c>
      <c r="H378" s="31">
        <v>0</v>
      </c>
      <c r="I378" s="31">
        <v>0</v>
      </c>
      <c r="J378" s="202" t="s">
        <v>845</v>
      </c>
      <c r="K378" s="103"/>
    </row>
    <row r="379" spans="1:11" x14ac:dyDescent="0.2">
      <c r="A379" s="82"/>
      <c r="B379" s="94"/>
      <c r="C379" s="95"/>
      <c r="D379" s="145"/>
      <c r="E379" s="203"/>
      <c r="F379" s="34"/>
      <c r="G379" s="34"/>
      <c r="H379" s="34"/>
      <c r="I379" s="34"/>
      <c r="J379" s="203"/>
      <c r="K379" s="105"/>
    </row>
    <row r="380" spans="1:11" x14ac:dyDescent="0.2">
      <c r="A380" s="99">
        <v>5000</v>
      </c>
      <c r="B380" s="100"/>
      <c r="C380" s="101" t="s">
        <v>734</v>
      </c>
      <c r="D380" s="149"/>
      <c r="E380" s="202" t="s">
        <v>845</v>
      </c>
      <c r="F380" s="202" t="s">
        <v>845</v>
      </c>
      <c r="G380" s="202" t="s">
        <v>845</v>
      </c>
      <c r="H380" s="202" t="s">
        <v>845</v>
      </c>
      <c r="I380" s="202" t="s">
        <v>845</v>
      </c>
      <c r="J380" s="202" t="s">
        <v>845</v>
      </c>
      <c r="K380" s="103"/>
    </row>
    <row r="381" spans="1:11" x14ac:dyDescent="0.2">
      <c r="A381" s="99">
        <v>5001</v>
      </c>
      <c r="B381" s="100"/>
      <c r="C381" s="101" t="s">
        <v>736</v>
      </c>
      <c r="D381" s="149"/>
      <c r="E381" s="202" t="s">
        <v>845</v>
      </c>
      <c r="F381" s="202" t="s">
        <v>845</v>
      </c>
      <c r="G381" s="202" t="s">
        <v>845</v>
      </c>
      <c r="H381" s="202" t="s">
        <v>845</v>
      </c>
      <c r="I381" s="202" t="s">
        <v>845</v>
      </c>
      <c r="J381" s="202" t="s">
        <v>845</v>
      </c>
      <c r="K381" s="103"/>
    </row>
    <row r="382" spans="1:11" x14ac:dyDescent="0.2">
      <c r="A382" s="99">
        <v>5002</v>
      </c>
      <c r="B382" s="100"/>
      <c r="C382" s="101" t="s">
        <v>738</v>
      </c>
      <c r="D382" s="149"/>
      <c r="E382" s="202" t="s">
        <v>845</v>
      </c>
      <c r="F382" s="202" t="s">
        <v>845</v>
      </c>
      <c r="G382" s="202" t="s">
        <v>845</v>
      </c>
      <c r="H382" s="202" t="s">
        <v>845</v>
      </c>
      <c r="I382" s="202" t="s">
        <v>845</v>
      </c>
      <c r="J382" s="202" t="s">
        <v>845</v>
      </c>
      <c r="K382" s="103"/>
    </row>
    <row r="383" spans="1:11" x14ac:dyDescent="0.2">
      <c r="A383" s="99">
        <v>5003</v>
      </c>
      <c r="B383" s="100"/>
      <c r="C383" s="101" t="s">
        <v>740</v>
      </c>
      <c r="D383" s="149"/>
      <c r="E383" s="202" t="s">
        <v>845</v>
      </c>
      <c r="F383" s="202" t="s">
        <v>845</v>
      </c>
      <c r="G383" s="202" t="s">
        <v>845</v>
      </c>
      <c r="H383" s="202" t="s">
        <v>845</v>
      </c>
      <c r="I383" s="202" t="s">
        <v>845</v>
      </c>
      <c r="J383" s="202" t="s">
        <v>845</v>
      </c>
      <c r="K383" s="103"/>
    </row>
    <row r="384" spans="1:11" x14ac:dyDescent="0.2">
      <c r="A384" s="106">
        <v>500301</v>
      </c>
      <c r="B384" s="107"/>
      <c r="C384" s="108" t="s">
        <v>742</v>
      </c>
      <c r="D384" s="149"/>
      <c r="E384" s="202" t="s">
        <v>845</v>
      </c>
      <c r="F384" s="202" t="s">
        <v>845</v>
      </c>
      <c r="G384" s="202" t="s">
        <v>845</v>
      </c>
      <c r="H384" s="202" t="s">
        <v>845</v>
      </c>
      <c r="I384" s="202" t="s">
        <v>845</v>
      </c>
      <c r="J384" s="202" t="s">
        <v>845</v>
      </c>
      <c r="K384" s="103"/>
    </row>
    <row r="385" spans="1:11" x14ac:dyDescent="0.2">
      <c r="A385" s="99">
        <v>5004</v>
      </c>
      <c r="B385" s="100"/>
      <c r="C385" s="101" t="s">
        <v>744</v>
      </c>
      <c r="D385" s="149"/>
      <c r="E385" s="202" t="s">
        <v>845</v>
      </c>
      <c r="F385" s="202" t="s">
        <v>845</v>
      </c>
      <c r="G385" s="202" t="s">
        <v>845</v>
      </c>
      <c r="H385" s="202" t="s">
        <v>845</v>
      </c>
      <c r="I385" s="202" t="s">
        <v>845</v>
      </c>
      <c r="J385" s="202" t="s">
        <v>845</v>
      </c>
      <c r="K385" s="103"/>
    </row>
    <row r="386" spans="1:11" x14ac:dyDescent="0.2">
      <c r="A386" s="82"/>
      <c r="B386" s="94"/>
      <c r="C386" s="95"/>
      <c r="D386" s="145"/>
      <c r="E386" s="203"/>
      <c r="F386" s="34"/>
      <c r="G386" s="34"/>
      <c r="H386" s="34"/>
      <c r="I386" s="34"/>
      <c r="J386" s="203"/>
      <c r="K386" s="105"/>
    </row>
    <row r="387" spans="1:11" x14ac:dyDescent="0.2">
      <c r="A387" s="99">
        <v>501</v>
      </c>
      <c r="B387" s="100"/>
      <c r="C387" s="101" t="s">
        <v>746</v>
      </c>
      <c r="D387" s="149"/>
      <c r="E387" s="202" t="s">
        <v>845</v>
      </c>
      <c r="F387" s="31">
        <v>0</v>
      </c>
      <c r="G387" s="31">
        <v>0</v>
      </c>
      <c r="H387" s="31">
        <v>0</v>
      </c>
      <c r="I387" s="31">
        <v>0</v>
      </c>
      <c r="J387" s="202" t="s">
        <v>845</v>
      </c>
      <c r="K387" s="103"/>
    </row>
    <row r="388" spans="1:11" x14ac:dyDescent="0.2">
      <c r="A388" s="82"/>
      <c r="B388" s="94"/>
      <c r="C388" s="95"/>
      <c r="D388" s="145"/>
      <c r="E388" s="86"/>
      <c r="F388" s="34"/>
      <c r="G388" s="34"/>
      <c r="H388" s="34"/>
      <c r="I388" s="34"/>
      <c r="J388" s="34"/>
      <c r="K388" s="105"/>
    </row>
    <row r="389" spans="1:11" x14ac:dyDescent="0.2">
      <c r="A389" s="99">
        <v>5010</v>
      </c>
      <c r="B389" s="100"/>
      <c r="C389" s="101" t="s">
        <v>748</v>
      </c>
      <c r="D389" s="149"/>
      <c r="E389" s="202" t="s">
        <v>845</v>
      </c>
      <c r="F389" s="202" t="s">
        <v>845</v>
      </c>
      <c r="G389" s="202" t="s">
        <v>845</v>
      </c>
      <c r="H389" s="202" t="s">
        <v>845</v>
      </c>
      <c r="I389" s="202" t="s">
        <v>845</v>
      </c>
      <c r="J389" s="202" t="s">
        <v>845</v>
      </c>
      <c r="K389" s="103"/>
    </row>
    <row r="390" spans="1:11" x14ac:dyDescent="0.2">
      <c r="A390" s="99">
        <v>5011</v>
      </c>
      <c r="B390" s="100"/>
      <c r="C390" s="101" t="s">
        <v>750</v>
      </c>
      <c r="D390" s="149"/>
      <c r="E390" s="202" t="s">
        <v>845</v>
      </c>
      <c r="F390" s="202" t="s">
        <v>845</v>
      </c>
      <c r="G390" s="202" t="s">
        <v>845</v>
      </c>
      <c r="H390" s="202" t="s">
        <v>845</v>
      </c>
      <c r="I390" s="202" t="s">
        <v>845</v>
      </c>
      <c r="J390" s="202" t="s">
        <v>845</v>
      </c>
      <c r="K390" s="103"/>
    </row>
    <row r="391" spans="1:11" x14ac:dyDescent="0.2">
      <c r="A391" s="99">
        <v>5012</v>
      </c>
      <c r="B391" s="100"/>
      <c r="C391" s="101" t="s">
        <v>752</v>
      </c>
      <c r="D391" s="149"/>
      <c r="E391" s="202" t="s">
        <v>845</v>
      </c>
      <c r="F391" s="202" t="s">
        <v>845</v>
      </c>
      <c r="G391" s="202" t="s">
        <v>845</v>
      </c>
      <c r="H391" s="202" t="s">
        <v>845</v>
      </c>
      <c r="I391" s="202" t="s">
        <v>845</v>
      </c>
      <c r="J391" s="202" t="s">
        <v>845</v>
      </c>
      <c r="K391" s="103"/>
    </row>
    <row r="392" spans="1:11" x14ac:dyDescent="0.2">
      <c r="A392" s="99">
        <v>5013</v>
      </c>
      <c r="B392" s="100"/>
      <c r="C392" s="101" t="s">
        <v>754</v>
      </c>
      <c r="D392" s="149"/>
      <c r="E392" s="202" t="s">
        <v>845</v>
      </c>
      <c r="F392" s="202" t="s">
        <v>845</v>
      </c>
      <c r="G392" s="202" t="s">
        <v>845</v>
      </c>
      <c r="H392" s="202" t="s">
        <v>845</v>
      </c>
      <c r="I392" s="202" t="s">
        <v>845</v>
      </c>
      <c r="J392" s="202" t="s">
        <v>845</v>
      </c>
      <c r="K392" s="103"/>
    </row>
    <row r="393" spans="1:11" x14ac:dyDescent="0.2">
      <c r="A393" s="99">
        <v>5014</v>
      </c>
      <c r="B393" s="100"/>
      <c r="C393" s="101" t="s">
        <v>744</v>
      </c>
      <c r="D393" s="149"/>
      <c r="E393" s="202" t="s">
        <v>845</v>
      </c>
      <c r="F393" s="202" t="s">
        <v>845</v>
      </c>
      <c r="G393" s="202" t="s">
        <v>845</v>
      </c>
      <c r="H393" s="202" t="s">
        <v>845</v>
      </c>
      <c r="I393" s="202" t="s">
        <v>845</v>
      </c>
      <c r="J393" s="202" t="s">
        <v>845</v>
      </c>
      <c r="K393" s="103"/>
    </row>
    <row r="394" spans="1:11" ht="15.75" thickBot="1" x14ac:dyDescent="0.25">
      <c r="A394" s="207"/>
      <c r="B394" s="208"/>
      <c r="C394" s="209"/>
      <c r="D394" s="160"/>
      <c r="E394" s="161"/>
      <c r="F394" s="161"/>
      <c r="G394" s="161"/>
      <c r="H394" s="161"/>
      <c r="I394" s="161"/>
      <c r="J394" s="161"/>
      <c r="K394" s="166"/>
    </row>
    <row r="395" spans="1:11" ht="15.75" thickTop="1" x14ac:dyDescent="0.2">
      <c r="A395" s="135"/>
      <c r="B395" s="136"/>
      <c r="C395" s="137"/>
      <c r="D395" s="163"/>
      <c r="E395" s="164"/>
      <c r="F395" s="164"/>
      <c r="G395" s="164"/>
      <c r="H395" s="164"/>
      <c r="I395" s="66"/>
      <c r="J395" s="164"/>
      <c r="K395" s="198"/>
    </row>
    <row r="396" spans="1:11" s="6" customFormat="1" ht="15.75" x14ac:dyDescent="0.25">
      <c r="A396" s="69"/>
      <c r="B396" s="70" t="s">
        <v>757</v>
      </c>
      <c r="C396" s="77" t="s">
        <v>758</v>
      </c>
      <c r="D396" s="142"/>
      <c r="E396" s="73">
        <f t="shared" ref="E396:J396" si="33">E398+E408</f>
        <v>172890882</v>
      </c>
      <c r="F396" s="73">
        <f t="shared" si="33"/>
        <v>2136500</v>
      </c>
      <c r="G396" s="73">
        <f t="shared" si="33"/>
        <v>23239000</v>
      </c>
      <c r="H396" s="73">
        <f t="shared" si="33"/>
        <v>0</v>
      </c>
      <c r="I396" s="73">
        <f t="shared" si="33"/>
        <v>718465</v>
      </c>
      <c r="J396" s="199">
        <f t="shared" si="33"/>
        <v>197547917</v>
      </c>
      <c r="K396" s="197">
        <f>J396/J$143*100</f>
        <v>4.1668028968602586</v>
      </c>
    </row>
    <row r="397" spans="1:11" x14ac:dyDescent="0.2">
      <c r="A397" s="82"/>
      <c r="B397" s="94"/>
      <c r="C397" s="95"/>
      <c r="D397" s="145"/>
      <c r="E397" s="34"/>
      <c r="F397" s="34"/>
      <c r="G397" s="34"/>
      <c r="H397" s="34"/>
      <c r="I397" s="34"/>
      <c r="J397" s="34"/>
      <c r="K397" s="105"/>
    </row>
    <row r="398" spans="1:11" x14ac:dyDescent="0.2">
      <c r="A398" s="99">
        <v>550</v>
      </c>
      <c r="B398" s="100"/>
      <c r="C398" s="101" t="s">
        <v>760</v>
      </c>
      <c r="D398" s="149"/>
      <c r="E398" s="31">
        <f>SUM(E400:E406)</f>
        <v>68615593</v>
      </c>
      <c r="F398" s="31">
        <f>SUM(F400:F406)</f>
        <v>2136500</v>
      </c>
      <c r="G398" s="31">
        <f>SUM(G400:G406)</f>
        <v>23239000</v>
      </c>
      <c r="H398" s="31">
        <v>0</v>
      </c>
      <c r="I398" s="31">
        <f>SUM(I400:I406)</f>
        <v>718465</v>
      </c>
      <c r="J398" s="31">
        <f>E398+F398+G398+H398-I398</f>
        <v>93272628</v>
      </c>
      <c r="K398" s="103">
        <f>J398/J$143*100</f>
        <v>1.967363981611455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50"/>
    </row>
    <row r="400" spans="1:11" x14ac:dyDescent="0.2">
      <c r="A400" s="99">
        <v>5500</v>
      </c>
      <c r="B400" s="100"/>
      <c r="C400" s="101" t="s">
        <v>762</v>
      </c>
      <c r="D400" s="149"/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f>E400+F400+G400+H400</f>
        <v>0</v>
      </c>
      <c r="K400" s="103">
        <f>J400/J$143*100</f>
        <v>0</v>
      </c>
    </row>
    <row r="401" spans="1:11" x14ac:dyDescent="0.2">
      <c r="A401" s="99">
        <v>5501</v>
      </c>
      <c r="B401" s="100"/>
      <c r="C401" s="101" t="s">
        <v>764</v>
      </c>
      <c r="D401" s="149"/>
      <c r="E401" s="31">
        <v>22245639</v>
      </c>
      <c r="F401" s="31">
        <v>1127245</v>
      </c>
      <c r="G401" s="31">
        <v>23239000</v>
      </c>
      <c r="H401" s="31">
        <v>0</v>
      </c>
      <c r="I401" s="31">
        <v>0</v>
      </c>
      <c r="J401" s="31">
        <f>E401+F401+G401+H401</f>
        <v>46611884</v>
      </c>
      <c r="K401" s="103">
        <f>J401/J$143*100</f>
        <v>0.98316669812982294</v>
      </c>
    </row>
    <row r="402" spans="1:11" x14ac:dyDescent="0.2">
      <c r="A402" s="99">
        <v>5502</v>
      </c>
      <c r="B402" s="100"/>
      <c r="C402" s="101" t="s">
        <v>766</v>
      </c>
      <c r="D402" s="149"/>
      <c r="E402" s="31">
        <v>0</v>
      </c>
      <c r="F402" s="31">
        <v>87721</v>
      </c>
      <c r="G402" s="31">
        <v>0</v>
      </c>
      <c r="H402" s="31">
        <v>0</v>
      </c>
      <c r="I402" s="31">
        <v>0</v>
      </c>
      <c r="J402" s="31">
        <f>E402+F402+G402+H402</f>
        <v>87721</v>
      </c>
      <c r="K402" s="103">
        <f>J402/J$143*100</f>
        <v>1.8502656088015279E-3</v>
      </c>
    </row>
    <row r="403" spans="1:11" x14ac:dyDescent="0.2">
      <c r="A403" s="99">
        <v>5503</v>
      </c>
      <c r="B403" s="100"/>
      <c r="C403" s="101" t="s">
        <v>772</v>
      </c>
      <c r="D403" s="149"/>
      <c r="E403" s="31">
        <v>0</v>
      </c>
      <c r="F403" s="31">
        <v>662369</v>
      </c>
      <c r="G403" s="31">
        <v>0</v>
      </c>
      <c r="H403" s="31">
        <v>0</v>
      </c>
      <c r="I403" s="31">
        <v>0</v>
      </c>
      <c r="J403" s="31">
        <f>E403+F403+G403+H403</f>
        <v>662369</v>
      </c>
      <c r="K403" s="103">
        <f>J403/J$143*100</f>
        <v>1.3971096784535736E-2</v>
      </c>
    </row>
    <row r="404" spans="1:11" x14ac:dyDescent="0.2">
      <c r="A404" s="210"/>
      <c r="B404" s="107"/>
      <c r="C404" s="154" t="s">
        <v>831</v>
      </c>
      <c r="D404" s="153"/>
      <c r="E404" s="109">
        <v>0</v>
      </c>
      <c r="F404" s="109">
        <v>0</v>
      </c>
      <c r="G404" s="109">
        <v>0</v>
      </c>
      <c r="H404" s="109">
        <v>0</v>
      </c>
      <c r="I404" s="109"/>
      <c r="J404" s="109">
        <v>0</v>
      </c>
      <c r="K404" s="103"/>
    </row>
    <row r="405" spans="1:11" x14ac:dyDescent="0.2">
      <c r="A405" s="106">
        <v>5505</v>
      </c>
      <c r="B405" s="107"/>
      <c r="C405" s="108" t="s">
        <v>802</v>
      </c>
      <c r="D405" s="153"/>
      <c r="E405" s="109">
        <f>H321</f>
        <v>718465</v>
      </c>
      <c r="F405" s="109">
        <v>0</v>
      </c>
      <c r="G405" s="109">
        <v>0</v>
      </c>
      <c r="H405" s="109">
        <v>0</v>
      </c>
      <c r="I405" s="109">
        <f>+E405</f>
        <v>718465</v>
      </c>
      <c r="J405" s="109">
        <f>E405+F405+G405+H405-I405</f>
        <v>0</v>
      </c>
      <c r="K405" s="103"/>
    </row>
    <row r="406" spans="1:11" x14ac:dyDescent="0.2">
      <c r="A406" s="99">
        <v>5504</v>
      </c>
      <c r="B406" s="100"/>
      <c r="C406" s="101" t="s">
        <v>775</v>
      </c>
      <c r="D406" s="149"/>
      <c r="E406" s="31">
        <f>46369954-E405</f>
        <v>45651489</v>
      </c>
      <c r="F406" s="31">
        <v>259165</v>
      </c>
      <c r="G406" s="31">
        <v>0</v>
      </c>
      <c r="H406" s="31">
        <v>0</v>
      </c>
      <c r="I406" s="31">
        <v>0</v>
      </c>
      <c r="J406" s="31">
        <f>E406+F406+G406+H406</f>
        <v>45910654</v>
      </c>
      <c r="K406" s="103">
        <f>J406/J$143*100</f>
        <v>0.96837592108829484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05"/>
    </row>
    <row r="408" spans="1:11" x14ac:dyDescent="0.2">
      <c r="A408" s="99">
        <v>551</v>
      </c>
      <c r="B408" s="100"/>
      <c r="C408" s="101" t="s">
        <v>777</v>
      </c>
      <c r="D408" s="149"/>
      <c r="E408" s="31">
        <f>SUM(E410:E414)</f>
        <v>104275289</v>
      </c>
      <c r="F408" s="31">
        <f>SUM(F410:F414)</f>
        <v>0</v>
      </c>
      <c r="G408" s="31">
        <f>SUM(G410:G414)</f>
        <v>0</v>
      </c>
      <c r="H408" s="31">
        <f>SUM(H410:H414)</f>
        <v>0</v>
      </c>
      <c r="I408" s="31">
        <f>SUM(I410:I413)</f>
        <v>0</v>
      </c>
      <c r="J408" s="31">
        <f>E408+F408+G408+H408</f>
        <v>104275289</v>
      </c>
      <c r="K408" s="103">
        <f>J408/J$143*100</f>
        <v>2.1994389152488032</v>
      </c>
    </row>
    <row r="409" spans="1:11" x14ac:dyDescent="0.2">
      <c r="A409" s="82"/>
      <c r="B409" s="94"/>
      <c r="C409" s="95"/>
      <c r="D409" s="145"/>
      <c r="E409" s="34"/>
      <c r="F409" s="34"/>
      <c r="G409" s="34"/>
      <c r="H409" s="34"/>
      <c r="I409" s="34"/>
      <c r="J409" s="34"/>
      <c r="K409" s="150"/>
    </row>
    <row r="410" spans="1:11" x14ac:dyDescent="0.2">
      <c r="A410" s="99">
        <v>5510</v>
      </c>
      <c r="B410" s="100"/>
      <c r="C410" s="101" t="s">
        <v>779</v>
      </c>
      <c r="D410" s="149"/>
      <c r="E410" s="31">
        <v>8003505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8003505</v>
      </c>
      <c r="K410" s="103">
        <f>J410/J$143*100</f>
        <v>0.16881487957696645</v>
      </c>
    </row>
    <row r="411" spans="1:11" x14ac:dyDescent="0.2">
      <c r="A411" s="99">
        <v>5511</v>
      </c>
      <c r="B411" s="100"/>
      <c r="C411" s="101" t="s">
        <v>781</v>
      </c>
      <c r="D411" s="149"/>
      <c r="E411" s="31">
        <v>3972003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3972003</v>
      </c>
      <c r="K411" s="103">
        <f>J411/J$143*100</f>
        <v>8.3779944927172459E-2</v>
      </c>
    </row>
    <row r="412" spans="1:11" x14ac:dyDescent="0.2">
      <c r="A412" s="99">
        <v>5512</v>
      </c>
      <c r="B412" s="100"/>
      <c r="C412" s="101" t="s">
        <v>783</v>
      </c>
      <c r="D412" s="149"/>
      <c r="E412" s="31">
        <v>12744000</v>
      </c>
      <c r="F412" s="31">
        <v>0</v>
      </c>
      <c r="G412" s="31">
        <v>0</v>
      </c>
      <c r="H412" s="31">
        <v>0</v>
      </c>
      <c r="I412" s="31">
        <v>0</v>
      </c>
      <c r="J412" s="31">
        <f>E412+F412+G412+H412</f>
        <v>12744000</v>
      </c>
      <c r="K412" s="103">
        <f>J412/J$143*100</f>
        <v>0.26880433326759468</v>
      </c>
    </row>
    <row r="413" spans="1:11" x14ac:dyDescent="0.2">
      <c r="A413" s="99">
        <v>5513</v>
      </c>
      <c r="B413" s="100"/>
      <c r="C413" s="101" t="s">
        <v>785</v>
      </c>
      <c r="D413" s="149"/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f>E413+F413+G413+H413</f>
        <v>0</v>
      </c>
      <c r="K413" s="103">
        <f>J413/J$143*100</f>
        <v>0</v>
      </c>
    </row>
    <row r="414" spans="1:11" x14ac:dyDescent="0.2">
      <c r="A414" s="99">
        <v>5514</v>
      </c>
      <c r="B414" s="100"/>
      <c r="C414" s="101" t="s">
        <v>836</v>
      </c>
      <c r="D414" s="149"/>
      <c r="E414" s="31">
        <v>79555781</v>
      </c>
      <c r="F414" s="31">
        <v>0</v>
      </c>
      <c r="G414" s="31">
        <v>0</v>
      </c>
      <c r="H414" s="31">
        <v>0</v>
      </c>
      <c r="I414" s="31">
        <v>0</v>
      </c>
      <c r="J414" s="31">
        <f>E414+F414+G414+H414</f>
        <v>79555781</v>
      </c>
      <c r="K414" s="103">
        <f>J414/J$143*100</f>
        <v>1.6780397574770696</v>
      </c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2"/>
    </row>
    <row r="416" spans="1:11" s="6" customFormat="1" ht="16.5" thickTop="1" x14ac:dyDescent="0.25">
      <c r="A416" s="211"/>
      <c r="B416" s="212" t="s">
        <v>803</v>
      </c>
      <c r="C416" s="213" t="s">
        <v>789</v>
      </c>
      <c r="D416" s="214"/>
      <c r="E416" s="215"/>
      <c r="F416" s="215"/>
      <c r="G416" s="215"/>
      <c r="H416" s="215"/>
      <c r="I416" s="215"/>
      <c r="J416" s="215"/>
      <c r="K416" s="216"/>
    </row>
    <row r="417" spans="1:11" s="6" customFormat="1" ht="16.5" thickBot="1" x14ac:dyDescent="0.3">
      <c r="A417" s="217"/>
      <c r="B417" s="218"/>
      <c r="C417" s="219" t="s">
        <v>804</v>
      </c>
      <c r="D417" s="220"/>
      <c r="E417" s="221">
        <f>E22+E313+E376-E146-E334-E396+1</f>
        <v>0.5</v>
      </c>
      <c r="F417" s="221">
        <f>F22+F313+F376-F146-F334-F396</f>
        <v>2180026.599999994</v>
      </c>
      <c r="G417" s="221">
        <f>G22+G313+G376-G146-G334-G396</f>
        <v>620249.5</v>
      </c>
      <c r="H417" s="221">
        <f>H22+H313+H376-H146-H334-H396</f>
        <v>-2401135.8647769094</v>
      </c>
      <c r="I417" s="221">
        <f>I22+I313+I376-I146-I334-I396</f>
        <v>-0.40600001811981201</v>
      </c>
      <c r="J417" s="222">
        <f>J22+J313+J376-J146-J334-J396</f>
        <v>399140.1412229538</v>
      </c>
      <c r="K417" s="223">
        <f>J417/J$143*100</f>
        <v>8.4189108240560005E-3</v>
      </c>
    </row>
    <row r="418" spans="1:11" s="6" customFormat="1" ht="16.5" thickTop="1" x14ac:dyDescent="0.25">
      <c r="A418" s="211"/>
      <c r="B418" s="212"/>
      <c r="C418" s="213"/>
      <c r="D418" s="214"/>
      <c r="E418" s="215"/>
      <c r="F418" s="215"/>
      <c r="G418" s="215"/>
      <c r="H418" s="215"/>
      <c r="I418" s="215"/>
      <c r="J418" s="224"/>
      <c r="K418" s="225"/>
    </row>
    <row r="419" spans="1:11" s="6" customFormat="1" ht="16.5" thickBot="1" x14ac:dyDescent="0.3">
      <c r="A419" s="226"/>
      <c r="B419" s="227" t="s">
        <v>787</v>
      </c>
      <c r="C419" s="228" t="s">
        <v>805</v>
      </c>
      <c r="D419" s="229"/>
      <c r="E419" s="230">
        <f>E359+E376-E396-E417</f>
        <v>49632595.5</v>
      </c>
      <c r="F419" s="230">
        <f>F359+F376-F396-F417</f>
        <v>-2000050.099999994</v>
      </c>
      <c r="G419" s="230">
        <f>G359+G376-G396-G417</f>
        <v>-6374999.5</v>
      </c>
      <c r="H419" s="230">
        <f>H359+H376-H396-H417-1</f>
        <v>3119599.8647769094</v>
      </c>
      <c r="I419" s="230">
        <f>I359+I376-I396-I417</f>
        <v>0.40600001811981201</v>
      </c>
      <c r="J419" s="231">
        <f>J359+J376-J396-J417</f>
        <v>44377147.358777046</v>
      </c>
      <c r="K419" s="232">
        <f>J419/J$143*100</f>
        <v>0.93603025016430197</v>
      </c>
    </row>
    <row r="420" spans="1:11" ht="15.75" thickTop="1" x14ac:dyDescent="0.2">
      <c r="A420" s="53"/>
      <c r="B420" s="53"/>
      <c r="C420" s="54"/>
      <c r="D420" s="54"/>
      <c r="E420" s="51"/>
      <c r="F420" s="51"/>
      <c r="G420" s="51"/>
      <c r="H420" s="51"/>
      <c r="I420" s="51"/>
      <c r="J420" s="51"/>
      <c r="K420" s="5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M418"/>
  <sheetViews>
    <sheetView topLeftCell="A111" zoomScale="60" workbookViewId="0">
      <selection activeCell="J141" sqref="J141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9.332031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872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 t="s">
        <v>873</v>
      </c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E25+E101+E119+E130</f>
        <v>1394872709.4017949</v>
      </c>
      <c r="F22" s="73">
        <f>F25+F101+F119+F130</f>
        <v>289456784.55923826</v>
      </c>
      <c r="G22" s="73">
        <f>G25+G101+G119+G130</f>
        <v>776433546.92082202</v>
      </c>
      <c r="H22" s="73">
        <f>H25+H101+H119+H130</f>
        <v>368607460</v>
      </c>
      <c r="I22" s="74">
        <f>I25+I101+I119+I130</f>
        <v>454562870.52779722</v>
      </c>
      <c r="J22" s="75">
        <f>E22+F22+G22+H22-I22</f>
        <v>2374807630.3540578</v>
      </c>
      <c r="K22" s="76" t="e">
        <f>J22/J$141*100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E28+E76</f>
        <v>1373902009.6117949</v>
      </c>
      <c r="F25" s="32">
        <f t="shared" si="0"/>
        <v>215619610.92223823</v>
      </c>
      <c r="G25" s="32">
        <f t="shared" si="0"/>
        <v>545694617.79733801</v>
      </c>
      <c r="H25" s="32">
        <f t="shared" si="0"/>
        <v>300250689</v>
      </c>
      <c r="I25" s="32">
        <f t="shared" si="0"/>
        <v>101121480.4583132</v>
      </c>
      <c r="J25" s="32">
        <f t="shared" si="0"/>
        <v>2334345446.8730578</v>
      </c>
      <c r="K25" s="92" t="e">
        <f>J25/J$141*100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E31+E36+E42+E46+E52+E63+E73</f>
        <v>1269199909.6960514</v>
      </c>
      <c r="F28" s="32">
        <f t="shared" si="1"/>
        <v>173647770.69058922</v>
      </c>
      <c r="G28" s="32">
        <f t="shared" si="1"/>
        <v>540466185.97533798</v>
      </c>
      <c r="H28" s="32">
        <f t="shared" si="1"/>
        <v>296307569</v>
      </c>
      <c r="I28" s="32">
        <f t="shared" si="1"/>
        <v>101121480.4583132</v>
      </c>
      <c r="J28" s="32">
        <f t="shared" si="1"/>
        <v>2178499954.9036651</v>
      </c>
      <c r="K28" s="92" t="e">
        <f>J28/J$141*100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318542180</v>
      </c>
      <c r="F31" s="31">
        <f t="shared" si="2"/>
        <v>125380770.23076922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443922950.23076922</v>
      </c>
      <c r="K31" s="103" t="e">
        <f>J31/J$141*100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232852830</v>
      </c>
      <c r="F32" s="31">
        <v>125380770.23076922</v>
      </c>
      <c r="G32" s="31">
        <v>0</v>
      </c>
      <c r="H32" s="31">
        <v>0</v>
      </c>
      <c r="I32" s="31"/>
      <c r="J32" s="31">
        <f>E32+F32+G32+H32</f>
        <v>358233600.23076922</v>
      </c>
      <c r="K32" s="103" t="e">
        <f>J32/J$141*100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85689350</v>
      </c>
      <c r="F33" s="31">
        <v>0</v>
      </c>
      <c r="G33" s="31">
        <v>0</v>
      </c>
      <c r="H33" s="31">
        <v>0</v>
      </c>
      <c r="I33" s="31"/>
      <c r="J33" s="31">
        <f>E33+F33+G33+H33</f>
        <v>85689350</v>
      </c>
      <c r="K33" s="103" t="e">
        <f>J33/J$141*100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8929870</v>
      </c>
      <c r="F36" s="31">
        <f t="shared" si="3"/>
        <v>0</v>
      </c>
      <c r="G36" s="31">
        <f t="shared" si="3"/>
        <v>540466185.97533798</v>
      </c>
      <c r="H36" s="31">
        <f t="shared" si="3"/>
        <v>296307569</v>
      </c>
      <c r="I36" s="31">
        <f>+I38</f>
        <v>101121480.4583132</v>
      </c>
      <c r="J36" s="31">
        <f t="shared" si="3"/>
        <v>744582144.51702476</v>
      </c>
      <c r="K36" s="103" t="e">
        <f>J36/J$141*100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4906870</v>
      </c>
      <c r="F37" s="31">
        <v>0</v>
      </c>
      <c r="G37" s="31">
        <v>314298763.10500002</v>
      </c>
      <c r="H37" s="31">
        <v>136316390</v>
      </c>
      <c r="I37" s="31"/>
      <c r="J37" s="31">
        <f>E37+F37+G37+H37</f>
        <v>455522023.10500002</v>
      </c>
      <c r="K37" s="103" t="e">
        <f>J37/J$141*100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3310890</v>
      </c>
      <c r="F38" s="109">
        <v>0</v>
      </c>
      <c r="G38" s="109">
        <v>185723959.58916</v>
      </c>
      <c r="H38" s="109">
        <v>138187822</v>
      </c>
      <c r="I38" s="427">
        <f>+I162</f>
        <v>101121480.4583132</v>
      </c>
      <c r="J38" s="109">
        <f>E38+F38+G38+H38-I38</f>
        <v>226101191.13084677</v>
      </c>
      <c r="K38" s="103" t="e">
        <f>J38/J$141*100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515000</v>
      </c>
      <c r="F39" s="31">
        <v>0</v>
      </c>
      <c r="G39" s="31">
        <v>27445965.190000001</v>
      </c>
      <c r="H39" s="31">
        <v>15821037</v>
      </c>
      <c r="I39" s="31"/>
      <c r="J39" s="31">
        <f>E39+F39+G39+H39</f>
        <v>43782002.189999998</v>
      </c>
      <c r="K39" s="103" t="e">
        <f>J39/J$141*100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197110</v>
      </c>
      <c r="F40" s="31">
        <v>0</v>
      </c>
      <c r="G40" s="31">
        <v>12997498.091178</v>
      </c>
      <c r="H40" s="31">
        <v>5982320</v>
      </c>
      <c r="I40" s="31"/>
      <c r="J40" s="31">
        <f>E40+F40+G40+H40</f>
        <v>19176928.091178</v>
      </c>
      <c r="K40" s="103" t="e">
        <f>J40/J$141*100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107890840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107890840</v>
      </c>
      <c r="K42" s="103" t="e">
        <f>J42/J$141*100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102711440</v>
      </c>
      <c r="F43" s="31">
        <v>0</v>
      </c>
      <c r="G43" s="31">
        <v>0</v>
      </c>
      <c r="H43" s="31">
        <v>0</v>
      </c>
      <c r="I43" s="31"/>
      <c r="J43" s="31">
        <f>E43+F43+G43+H43</f>
        <v>102711440</v>
      </c>
      <c r="K43" s="103" t="e">
        <f>J43/J$141*100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5179400</v>
      </c>
      <c r="F44" s="31">
        <v>0</v>
      </c>
      <c r="G44" s="31">
        <v>0</v>
      </c>
      <c r="H44" s="31">
        <v>0</v>
      </c>
      <c r="I44" s="31"/>
      <c r="J44" s="31">
        <f>E44+F44+G44+H44</f>
        <v>5179400</v>
      </c>
      <c r="K44" s="103" t="e">
        <f>J44/J$141*100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1959110</v>
      </c>
      <c r="F46" s="31">
        <f t="shared" si="5"/>
        <v>33885631.531360008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35844741.531360008</v>
      </c>
      <c r="K46" s="103" t="e">
        <f>J46/J$141*100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>
        <v>0</v>
      </c>
      <c r="F47" s="31">
        <v>25471426.131760005</v>
      </c>
      <c r="G47" s="31">
        <v>0</v>
      </c>
      <c r="H47" s="31">
        <v>0</v>
      </c>
      <c r="I47" s="31"/>
      <c r="J47" s="31">
        <f>E47+F47+G47+H47</f>
        <v>25471426.131760005</v>
      </c>
      <c r="K47" s="103" t="e">
        <f>J47/J$141*100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>
        <v>0</v>
      </c>
      <c r="F48" s="31">
        <v>4774.6880000000001</v>
      </c>
      <c r="G48" s="31">
        <v>0</v>
      </c>
      <c r="H48" s="31">
        <v>0</v>
      </c>
      <c r="I48" s="31"/>
      <c r="J48" s="31">
        <f>E48+F48+G48+H48</f>
        <v>4774.6880000000001</v>
      </c>
      <c r="K48" s="103" t="e">
        <f>J48/J$141*100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>
        <v>0</v>
      </c>
      <c r="F49" s="31">
        <v>734094.99306000001</v>
      </c>
      <c r="G49" s="31">
        <v>0</v>
      </c>
      <c r="H49" s="31">
        <v>0</v>
      </c>
      <c r="I49" s="31"/>
      <c r="J49" s="31">
        <f>E49+F49+G49+H49</f>
        <v>734094.99306000001</v>
      </c>
      <c r="K49" s="103" t="e">
        <f>J49/J$141*100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>
        <v>1959110</v>
      </c>
      <c r="F50" s="31">
        <v>7675335.7185400007</v>
      </c>
      <c r="G50" s="31">
        <v>0</v>
      </c>
      <c r="H50" s="31">
        <v>0</v>
      </c>
      <c r="I50" s="31"/>
      <c r="J50" s="31">
        <f>E50+F50+G50+H50</f>
        <v>9634445.7185400017</v>
      </c>
      <c r="K50" s="103" t="e">
        <f>J50/J$141*100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799326819.04225683</v>
      </c>
      <c r="F52" s="31">
        <f>SUM(F53:F61)</f>
        <v>14380212.82846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813707031.87071693</v>
      </c>
      <c r="K52" s="103" t="e">
        <f t="shared" ref="K52:K61" si="6">J52/J$141*100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>
        <v>533224820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533224820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>
        <v>13255000</v>
      </c>
      <c r="F54" s="31">
        <v>0</v>
      </c>
      <c r="G54" s="31">
        <v>0</v>
      </c>
      <c r="H54" s="31">
        <v>0</v>
      </c>
      <c r="I54" s="31"/>
      <c r="J54" s="31">
        <f t="shared" si="7"/>
        <v>13255000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>
        <v>194090000</v>
      </c>
      <c r="F55" s="31">
        <v>0</v>
      </c>
      <c r="G55" s="31">
        <v>0</v>
      </c>
      <c r="H55" s="31">
        <v>0</v>
      </c>
      <c r="I55" s="31"/>
      <c r="J55" s="31">
        <f t="shared" si="7"/>
        <v>194090000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882</v>
      </c>
      <c r="D57" s="102" t="s">
        <v>460</v>
      </c>
      <c r="E57" s="31">
        <v>21677799.201409709</v>
      </c>
      <c r="F57" s="31">
        <v>1695078.56</v>
      </c>
      <c r="G57" s="31">
        <v>0</v>
      </c>
      <c r="H57" s="31">
        <v>0</v>
      </c>
      <c r="I57" s="31"/>
      <c r="J57" s="31">
        <f t="shared" si="7"/>
        <v>23372877.761409707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>
        <v>21195000</v>
      </c>
      <c r="F59" s="31">
        <v>7186.6880000000001</v>
      </c>
      <c r="G59" s="31">
        <v>0</v>
      </c>
      <c r="H59" s="31">
        <v>0</v>
      </c>
      <c r="I59" s="31"/>
      <c r="J59" s="31">
        <f t="shared" si="7"/>
        <v>21202186.688000001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>
        <v>9078699.8408471569</v>
      </c>
      <c r="F60" s="31">
        <v>12677947.580460001</v>
      </c>
      <c r="G60" s="31">
        <v>0</v>
      </c>
      <c r="H60" s="31">
        <v>0</v>
      </c>
      <c r="I60" s="31"/>
      <c r="J60" s="31">
        <f t="shared" si="7"/>
        <v>21756647.421307158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>
        <v>6805500</v>
      </c>
      <c r="F61" s="31">
        <v>0</v>
      </c>
      <c r="G61" s="31">
        <v>0</v>
      </c>
      <c r="H61" s="31">
        <v>0</v>
      </c>
      <c r="I61" s="31"/>
      <c r="J61" s="31">
        <f t="shared" si="7"/>
        <v>6805500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32316960.65379452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32316960.65379452</v>
      </c>
      <c r="K63" s="103" t="e">
        <f t="shared" ref="K63:K70" si="9">J63/J$141*100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>
        <v>30730020.397034448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30730020.397034448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>
        <v>1586940.2567600736</v>
      </c>
      <c r="F65" s="31">
        <v>0</v>
      </c>
      <c r="G65" s="31">
        <v>0</v>
      </c>
      <c r="H65" s="31">
        <v>0</v>
      </c>
      <c r="I65" s="31"/>
      <c r="J65" s="31">
        <f t="shared" si="10"/>
        <v>1586940.2567600736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8"/>
      <c r="E71" s="34"/>
      <c r="F71" s="34"/>
      <c r="G71" s="34"/>
      <c r="H71" s="34"/>
      <c r="I71" s="34"/>
      <c r="J71" s="34"/>
      <c r="K71" s="110"/>
    </row>
    <row r="72" spans="1:11" x14ac:dyDescent="0.2">
      <c r="A72" s="82"/>
      <c r="B72" s="94"/>
      <c r="C72" s="95"/>
      <c r="D72" s="97" t="s">
        <v>462</v>
      </c>
      <c r="E72" s="34"/>
      <c r="F72" s="34"/>
      <c r="G72" s="34"/>
      <c r="H72" s="34"/>
      <c r="I72" s="34"/>
      <c r="J72" s="34"/>
      <c r="K72" s="105"/>
    </row>
    <row r="73" spans="1:11" x14ac:dyDescent="0.2">
      <c r="A73" s="99">
        <v>706</v>
      </c>
      <c r="B73" s="100"/>
      <c r="C73" s="101" t="s">
        <v>486</v>
      </c>
      <c r="D73" s="102" t="s">
        <v>487</v>
      </c>
      <c r="E73" s="31">
        <f>E74</f>
        <v>234130</v>
      </c>
      <c r="F73" s="31">
        <f>F74</f>
        <v>1156.0999999999999</v>
      </c>
      <c r="G73" s="31">
        <f>G74</f>
        <v>0</v>
      </c>
      <c r="H73" s="31">
        <f>H74</f>
        <v>0</v>
      </c>
      <c r="I73" s="31">
        <f>I74</f>
        <v>0</v>
      </c>
      <c r="J73" s="31">
        <f>E73+F73+G73+H73</f>
        <v>235286.1</v>
      </c>
      <c r="K73" s="103" t="e">
        <f>J73/J$141*100</f>
        <v>#REF!</v>
      </c>
    </row>
    <row r="74" spans="1:11" x14ac:dyDescent="0.2">
      <c r="A74" s="99">
        <v>7060</v>
      </c>
      <c r="B74" s="100"/>
      <c r="C74" s="101" t="s">
        <v>488</v>
      </c>
      <c r="D74" s="102" t="s">
        <v>489</v>
      </c>
      <c r="E74" s="31">
        <v>234130</v>
      </c>
      <c r="F74" s="31">
        <v>1156.0999999999999</v>
      </c>
      <c r="G74" s="31">
        <v>0</v>
      </c>
      <c r="H74" s="31">
        <v>0</v>
      </c>
      <c r="I74" s="31"/>
      <c r="J74" s="31">
        <f>E74+F74+G74+H74</f>
        <v>235286.1</v>
      </c>
      <c r="K74" s="103" t="e">
        <f>J74/J$141*100</f>
        <v>#REF!</v>
      </c>
    </row>
    <row r="75" spans="1:11" x14ac:dyDescent="0.2">
      <c r="A75" s="82"/>
      <c r="B75" s="94"/>
      <c r="C75" s="95"/>
      <c r="D75" s="98"/>
      <c r="E75" s="86"/>
      <c r="F75" s="86"/>
      <c r="G75" s="86"/>
      <c r="H75" s="86"/>
      <c r="I75" s="86"/>
      <c r="J75" s="86"/>
      <c r="K75" s="87"/>
    </row>
    <row r="76" spans="1:11" ht="15.75" x14ac:dyDescent="0.25">
      <c r="A76" s="88">
        <v>71</v>
      </c>
      <c r="B76" s="89"/>
      <c r="C76" s="90" t="s">
        <v>490</v>
      </c>
      <c r="D76" s="91" t="s">
        <v>491</v>
      </c>
      <c r="E76" s="32">
        <f t="shared" ref="E76:J76" si="11">E79+E86+E90+E93+E97</f>
        <v>104702099.9157436</v>
      </c>
      <c r="F76" s="32">
        <f t="shared" si="11"/>
        <v>41971840.231648996</v>
      </c>
      <c r="G76" s="32">
        <f t="shared" si="11"/>
        <v>5228431.8220000006</v>
      </c>
      <c r="H76" s="32">
        <f t="shared" si="11"/>
        <v>3943120</v>
      </c>
      <c r="I76" s="32">
        <f t="shared" si="11"/>
        <v>0</v>
      </c>
      <c r="J76" s="32">
        <f t="shared" si="11"/>
        <v>155845491.9693926</v>
      </c>
      <c r="K76" s="92" t="e">
        <f>J76/J$141*100</f>
        <v>#REF!</v>
      </c>
    </row>
    <row r="77" spans="1:11" ht="15.75" x14ac:dyDescent="0.25">
      <c r="A77" s="88"/>
      <c r="B77" s="89"/>
      <c r="C77" s="96" t="s">
        <v>492</v>
      </c>
      <c r="D77" s="97" t="s">
        <v>492</v>
      </c>
      <c r="E77" s="86"/>
      <c r="F77" s="86"/>
      <c r="G77" s="86"/>
      <c r="H77" s="86"/>
      <c r="I77" s="86"/>
      <c r="J77" s="86"/>
      <c r="K77" s="87"/>
    </row>
    <row r="78" spans="1:11" x14ac:dyDescent="0.2">
      <c r="A78" s="99"/>
      <c r="B78" s="100"/>
      <c r="C78" s="101"/>
      <c r="D78" s="102"/>
      <c r="E78" s="31"/>
      <c r="F78" s="31"/>
      <c r="G78" s="31"/>
      <c r="H78" s="31"/>
      <c r="I78" s="31"/>
      <c r="J78" s="31"/>
      <c r="K78" s="104"/>
    </row>
    <row r="79" spans="1:11" x14ac:dyDescent="0.2">
      <c r="A79" s="99">
        <v>710</v>
      </c>
      <c r="B79" s="100"/>
      <c r="C79" s="101" t="s">
        <v>494</v>
      </c>
      <c r="D79" s="102" t="s">
        <v>495</v>
      </c>
      <c r="E79" s="31">
        <f>SUM(E80:E83)</f>
        <v>42367500.062260002</v>
      </c>
      <c r="F79" s="31">
        <f>SUM(F80:F83)</f>
        <v>18454182.169479001</v>
      </c>
      <c r="G79" s="31">
        <f>SUM(G80:G83)</f>
        <v>135734.766</v>
      </c>
      <c r="H79" s="31">
        <f>SUM(H80:H83)</f>
        <v>190544</v>
      </c>
      <c r="I79" s="31">
        <f>SUM(I80:I83)</f>
        <v>0</v>
      </c>
      <c r="J79" s="31">
        <f>E79+F79+G79+H79</f>
        <v>61147960.997739002</v>
      </c>
      <c r="K79" s="103" t="e">
        <f>J79/J$141*100</f>
        <v>#REF!</v>
      </c>
    </row>
    <row r="80" spans="1:11" x14ac:dyDescent="0.2">
      <c r="A80" s="99">
        <v>7100</v>
      </c>
      <c r="B80" s="100"/>
      <c r="C80" s="101" t="s">
        <v>496</v>
      </c>
      <c r="D80" s="102" t="s">
        <v>497</v>
      </c>
      <c r="E80" s="31">
        <v>21750000</v>
      </c>
      <c r="F80" s="31">
        <v>140315.32204099998</v>
      </c>
      <c r="G80" s="31">
        <v>0</v>
      </c>
      <c r="H80" s="31">
        <v>0</v>
      </c>
      <c r="I80" s="31"/>
      <c r="J80" s="31">
        <f>E80+F80+G80+H80</f>
        <v>21890315.322041001</v>
      </c>
      <c r="K80" s="103" t="e">
        <f>J80/J$141*100</f>
        <v>#REF!</v>
      </c>
    </row>
    <row r="81" spans="1:11" x14ac:dyDescent="0.2">
      <c r="A81" s="99">
        <v>7101</v>
      </c>
      <c r="B81" s="100"/>
      <c r="C81" s="101" t="s">
        <v>498</v>
      </c>
      <c r="D81" s="102" t="s">
        <v>499</v>
      </c>
      <c r="E81" s="31">
        <v>1300000</v>
      </c>
      <c r="F81" s="31">
        <v>376582.11578799994</v>
      </c>
      <c r="G81" s="31">
        <v>0</v>
      </c>
      <c r="H81" s="31">
        <v>0</v>
      </c>
      <c r="I81" s="31"/>
      <c r="J81" s="31">
        <f>E81+F81+G81+H81</f>
        <v>1676582.1157879999</v>
      </c>
      <c r="K81" s="103" t="e">
        <f>J81/J$141*100</f>
        <v>#REF!</v>
      </c>
    </row>
    <row r="82" spans="1:11" x14ac:dyDescent="0.2">
      <c r="A82" s="99">
        <v>7102</v>
      </c>
      <c r="B82" s="100"/>
      <c r="C82" s="101" t="s">
        <v>500</v>
      </c>
      <c r="D82" s="102" t="s">
        <v>501</v>
      </c>
      <c r="E82" s="31">
        <v>9677500</v>
      </c>
      <c r="F82" s="31">
        <v>2528283.4979999997</v>
      </c>
      <c r="G82" s="31">
        <v>105589.76599999999</v>
      </c>
      <c r="H82" s="31">
        <v>54315</v>
      </c>
      <c r="I82" s="31"/>
      <c r="J82" s="31">
        <f>E82+F82+G82+H82</f>
        <v>12365688.264</v>
      </c>
      <c r="K82" s="103" t="e">
        <f>J82/J$141*100</f>
        <v>#REF!</v>
      </c>
    </row>
    <row r="83" spans="1:11" x14ac:dyDescent="0.2">
      <c r="A83" s="99">
        <v>7103</v>
      </c>
      <c r="B83" s="100"/>
      <c r="C83" s="101" t="s">
        <v>502</v>
      </c>
      <c r="D83" s="102" t="s">
        <v>503</v>
      </c>
      <c r="E83" s="31">
        <v>9640000.06226</v>
      </c>
      <c r="F83" s="31">
        <v>15409001.233650001</v>
      </c>
      <c r="G83" s="31">
        <v>30145</v>
      </c>
      <c r="H83" s="31">
        <v>136229</v>
      </c>
      <c r="I83" s="31"/>
      <c r="J83" s="31">
        <f>E83+F83+G83+H83</f>
        <v>25215375.295910001</v>
      </c>
      <c r="K83" s="103" t="e">
        <f>J83/J$141*100</f>
        <v>#REF!</v>
      </c>
    </row>
    <row r="84" spans="1:11" x14ac:dyDescent="0.2">
      <c r="A84" s="82"/>
      <c r="B84" s="94"/>
      <c r="C84" s="95" t="s">
        <v>504</v>
      </c>
      <c r="D84" s="98" t="s">
        <v>462</v>
      </c>
      <c r="E84" s="34"/>
      <c r="F84" s="34"/>
      <c r="G84" s="34"/>
      <c r="H84" s="34"/>
      <c r="I84" s="34"/>
      <c r="J84" s="34"/>
      <c r="K84" s="105"/>
    </row>
    <row r="85" spans="1:11" x14ac:dyDescent="0.2">
      <c r="A85" s="82"/>
      <c r="B85" s="94"/>
      <c r="C85" s="95"/>
      <c r="D85" s="98"/>
      <c r="E85" s="34"/>
      <c r="F85" s="34"/>
      <c r="G85" s="34"/>
      <c r="H85" s="34"/>
      <c r="I85" s="34"/>
      <c r="J85" s="34"/>
      <c r="K85" s="105"/>
    </row>
    <row r="86" spans="1:11" x14ac:dyDescent="0.2">
      <c r="A86" s="99">
        <v>711</v>
      </c>
      <c r="B86" s="100"/>
      <c r="C86" s="101" t="s">
        <v>505</v>
      </c>
      <c r="D86" s="102" t="s">
        <v>506</v>
      </c>
      <c r="E86" s="31">
        <f>E87+E88</f>
        <v>25164999.853483602</v>
      </c>
      <c r="F86" s="31">
        <f>F87+F88</f>
        <v>1918796.8057799998</v>
      </c>
      <c r="G86" s="31">
        <f>G87+G88</f>
        <v>0</v>
      </c>
      <c r="H86" s="31">
        <f>H87+H88</f>
        <v>0</v>
      </c>
      <c r="I86" s="31">
        <f>I87+I88</f>
        <v>0</v>
      </c>
      <c r="J86" s="31">
        <f>E86+F86+G86+H86</f>
        <v>27083796.659263603</v>
      </c>
      <c r="K86" s="103" t="e">
        <f>J86/J$141*100</f>
        <v>#REF!</v>
      </c>
    </row>
    <row r="87" spans="1:11" x14ac:dyDescent="0.2">
      <c r="A87" s="99">
        <v>7110</v>
      </c>
      <c r="B87" s="100"/>
      <c r="C87" s="101" t="s">
        <v>507</v>
      </c>
      <c r="D87" s="102" t="s">
        <v>508</v>
      </c>
      <c r="E87" s="31">
        <v>7918000.2280517425</v>
      </c>
      <c r="F87" s="31">
        <v>0</v>
      </c>
      <c r="G87" s="31">
        <v>0</v>
      </c>
      <c r="H87" s="31">
        <v>0</v>
      </c>
      <c r="I87" s="31"/>
      <c r="J87" s="31">
        <f>E87+F87+G87+H87</f>
        <v>7918000.2280517425</v>
      </c>
      <c r="K87" s="103" t="e">
        <f>J87/J$141*100</f>
        <v>#REF!</v>
      </c>
    </row>
    <row r="88" spans="1:11" x14ac:dyDescent="0.2">
      <c r="A88" s="99">
        <v>7111</v>
      </c>
      <c r="B88" s="100"/>
      <c r="C88" s="101" t="s">
        <v>509</v>
      </c>
      <c r="D88" s="102" t="s">
        <v>510</v>
      </c>
      <c r="E88" s="31">
        <v>17246999.625431858</v>
      </c>
      <c r="F88" s="31">
        <v>1918796.8057799998</v>
      </c>
      <c r="G88" s="31">
        <v>0</v>
      </c>
      <c r="H88" s="31">
        <v>0</v>
      </c>
      <c r="I88" s="31"/>
      <c r="J88" s="31">
        <f>E88+F88+G88+H88</f>
        <v>19165796.431211859</v>
      </c>
      <c r="K88" s="103" t="e">
        <f>J88/J$141*100</f>
        <v>#REF!</v>
      </c>
    </row>
    <row r="89" spans="1:11" x14ac:dyDescent="0.2">
      <c r="A89" s="82"/>
      <c r="B89" s="94"/>
      <c r="C89" s="95"/>
      <c r="D89" s="98"/>
      <c r="E89" s="34"/>
      <c r="F89" s="34"/>
      <c r="G89" s="34"/>
      <c r="H89" s="34"/>
      <c r="I89" s="34"/>
      <c r="J89" s="34"/>
      <c r="K89" s="105"/>
    </row>
    <row r="90" spans="1:11" x14ac:dyDescent="0.2">
      <c r="A90" s="99">
        <v>712</v>
      </c>
      <c r="B90" s="100"/>
      <c r="C90" s="101" t="s">
        <v>511</v>
      </c>
      <c r="D90" s="102" t="s">
        <v>512</v>
      </c>
      <c r="E90" s="31">
        <f>E91</f>
        <v>8455000</v>
      </c>
      <c r="F90" s="31">
        <f>F91</f>
        <v>627057.73061999993</v>
      </c>
      <c r="G90" s="31">
        <f>G91</f>
        <v>0</v>
      </c>
      <c r="H90" s="31">
        <f>H91</f>
        <v>0</v>
      </c>
      <c r="I90" s="31">
        <f>I91</f>
        <v>0</v>
      </c>
      <c r="J90" s="31">
        <f>E90+F90+G90+H90</f>
        <v>9082057.7306200005</v>
      </c>
      <c r="K90" s="103" t="e">
        <f>J90/J$141*100</f>
        <v>#REF!</v>
      </c>
    </row>
    <row r="91" spans="1:11" x14ac:dyDescent="0.2">
      <c r="A91" s="99">
        <v>7120</v>
      </c>
      <c r="B91" s="100"/>
      <c r="C91" s="101" t="s">
        <v>513</v>
      </c>
      <c r="D91" s="102" t="s">
        <v>514</v>
      </c>
      <c r="E91" s="31">
        <v>8455000</v>
      </c>
      <c r="F91" s="31">
        <v>627057.73061999993</v>
      </c>
      <c r="G91" s="31">
        <v>0</v>
      </c>
      <c r="H91" s="31"/>
      <c r="I91" s="31"/>
      <c r="J91" s="31">
        <f>E91+F91+G91+H91</f>
        <v>9082057.7306200005</v>
      </c>
      <c r="K91" s="103" t="e">
        <f>J91/J$141*100</f>
        <v>#REF!</v>
      </c>
    </row>
    <row r="92" spans="1:11" x14ac:dyDescent="0.2">
      <c r="A92" s="82"/>
      <c r="B92" s="94"/>
      <c r="C92" s="95"/>
      <c r="D92" s="98"/>
      <c r="E92" s="34"/>
      <c r="F92" s="34"/>
      <c r="G92" s="34"/>
      <c r="H92" s="34"/>
      <c r="I92" s="34"/>
      <c r="J92" s="34"/>
      <c r="K92" s="105"/>
    </row>
    <row r="93" spans="1:11" x14ac:dyDescent="0.2">
      <c r="A93" s="99">
        <v>713</v>
      </c>
      <c r="B93" s="100"/>
      <c r="C93" s="101" t="s">
        <v>515</v>
      </c>
      <c r="D93" s="102" t="s">
        <v>516</v>
      </c>
      <c r="E93" s="31">
        <f t="shared" ref="E93:J93" si="12">E94</f>
        <v>6785000</v>
      </c>
      <c r="F93" s="31">
        <f t="shared" si="12"/>
        <v>1766978.4054</v>
      </c>
      <c r="G93" s="31">
        <f t="shared" si="12"/>
        <v>32201.588999999996</v>
      </c>
      <c r="H93" s="31">
        <f t="shared" si="12"/>
        <v>1630912</v>
      </c>
      <c r="I93" s="31">
        <f t="shared" si="12"/>
        <v>0</v>
      </c>
      <c r="J93" s="31">
        <f t="shared" si="12"/>
        <v>10215091.9944</v>
      </c>
      <c r="K93" s="103" t="e">
        <f>J93/J$141*100</f>
        <v>#REF!</v>
      </c>
    </row>
    <row r="94" spans="1:11" x14ac:dyDescent="0.2">
      <c r="A94" s="99">
        <v>7130</v>
      </c>
      <c r="B94" s="100"/>
      <c r="C94" s="101" t="s">
        <v>517</v>
      </c>
      <c r="D94" s="102" t="s">
        <v>518</v>
      </c>
      <c r="E94" s="31">
        <v>6785000</v>
      </c>
      <c r="F94" s="31">
        <v>1766978.4054</v>
      </c>
      <c r="G94" s="31">
        <v>32201.588999999996</v>
      </c>
      <c r="H94" s="31">
        <v>1630912</v>
      </c>
      <c r="I94" s="31"/>
      <c r="J94" s="31">
        <f>E94+F94+G94+H94-I94</f>
        <v>10215091.9944</v>
      </c>
      <c r="K94" s="103" t="e">
        <f>J94/J$141*100</f>
        <v>#REF!</v>
      </c>
    </row>
    <row r="95" spans="1:11" x14ac:dyDescent="0.2">
      <c r="A95" s="82"/>
      <c r="B95" s="94"/>
      <c r="C95" s="95" t="s">
        <v>519</v>
      </c>
      <c r="D95" s="98"/>
      <c r="E95" s="34"/>
      <c r="F95" s="34"/>
      <c r="G95" s="34"/>
      <c r="H95" s="34"/>
      <c r="I95" s="34"/>
      <c r="J95" s="111"/>
      <c r="K95" s="105"/>
    </row>
    <row r="96" spans="1:11" x14ac:dyDescent="0.2">
      <c r="A96" s="82"/>
      <c r="B96" s="94"/>
      <c r="C96" s="95"/>
      <c r="D96" s="97" t="s">
        <v>462</v>
      </c>
      <c r="E96" s="34"/>
      <c r="F96" s="34"/>
      <c r="G96" s="34"/>
      <c r="H96" s="34"/>
      <c r="I96" s="34"/>
      <c r="J96" s="34"/>
      <c r="K96" s="105"/>
    </row>
    <row r="97" spans="1:11" x14ac:dyDescent="0.2">
      <c r="A97" s="99">
        <v>714</v>
      </c>
      <c r="B97" s="100"/>
      <c r="C97" s="101" t="s">
        <v>520</v>
      </c>
      <c r="D97" s="102" t="s">
        <v>521</v>
      </c>
      <c r="E97" s="31">
        <f t="shared" ref="E97:J97" si="13">E98+E99</f>
        <v>21929600</v>
      </c>
      <c r="F97" s="31">
        <f t="shared" si="13"/>
        <v>19204825.120369997</v>
      </c>
      <c r="G97" s="31">
        <f t="shared" si="13"/>
        <v>5060495.4670000002</v>
      </c>
      <c r="H97" s="31">
        <f t="shared" si="13"/>
        <v>2121664</v>
      </c>
      <c r="I97" s="31">
        <f t="shared" si="13"/>
        <v>0</v>
      </c>
      <c r="J97" s="31">
        <f t="shared" si="13"/>
        <v>48316584.587370001</v>
      </c>
      <c r="K97" s="103" t="e">
        <f>J97/J$141*100</f>
        <v>#REF!</v>
      </c>
    </row>
    <row r="98" spans="1:11" x14ac:dyDescent="0.2">
      <c r="A98" s="99">
        <v>7140</v>
      </c>
      <c r="B98" s="100"/>
      <c r="C98" s="101" t="s">
        <v>522</v>
      </c>
      <c r="D98" s="102" t="s">
        <v>523</v>
      </c>
      <c r="E98" s="31">
        <v>0</v>
      </c>
      <c r="F98" s="31">
        <v>0</v>
      </c>
      <c r="G98" s="31">
        <v>3962602</v>
      </c>
      <c r="H98" s="31">
        <v>0</v>
      </c>
      <c r="I98" s="31"/>
      <c r="J98" s="31">
        <f>E98+F98+G98+H98</f>
        <v>3962602</v>
      </c>
      <c r="K98" s="103" t="e">
        <f>J98/J$141*100</f>
        <v>#REF!</v>
      </c>
    </row>
    <row r="99" spans="1:11" x14ac:dyDescent="0.2">
      <c r="A99" s="99">
        <v>7141</v>
      </c>
      <c r="B99" s="100"/>
      <c r="C99" s="101" t="s">
        <v>524</v>
      </c>
      <c r="D99" s="102" t="s">
        <v>525</v>
      </c>
      <c r="E99" s="31">
        <v>21929600</v>
      </c>
      <c r="F99" s="31">
        <v>19204825.120369997</v>
      </c>
      <c r="G99" s="31">
        <v>1097893.4669999999</v>
      </c>
      <c r="H99" s="31">
        <v>2121664</v>
      </c>
      <c r="I99" s="31"/>
      <c r="J99" s="31">
        <f>E99+F99+G99+H99-I99</f>
        <v>44353982.587370001</v>
      </c>
      <c r="K99" s="103" t="e">
        <f>J99/J$141*100</f>
        <v>#REF!</v>
      </c>
    </row>
    <row r="100" spans="1:11" x14ac:dyDescent="0.2">
      <c r="A100" s="82"/>
      <c r="B100" s="94"/>
      <c r="C100" s="95"/>
      <c r="D100" s="98"/>
      <c r="E100" s="86"/>
      <c r="F100" s="86"/>
      <c r="G100" s="86"/>
      <c r="H100" s="86"/>
      <c r="I100" s="86"/>
      <c r="J100" s="86"/>
      <c r="K100" s="87"/>
    </row>
    <row r="101" spans="1:11" ht="15.75" x14ac:dyDescent="0.25">
      <c r="A101" s="88">
        <v>72</v>
      </c>
      <c r="B101" s="89"/>
      <c r="C101" s="90" t="s">
        <v>526</v>
      </c>
      <c r="D101" s="91" t="s">
        <v>527</v>
      </c>
      <c r="E101" s="32">
        <f>E104+E110+E114</f>
        <v>3575999.79</v>
      </c>
      <c r="F101" s="32">
        <f>F104+F110+F114</f>
        <v>10948758.868000001</v>
      </c>
      <c r="G101" s="32">
        <f>G104+G110+G114</f>
        <v>220000</v>
      </c>
      <c r="H101" s="32">
        <f>H104+H110+H114</f>
        <v>21711</v>
      </c>
      <c r="I101" s="32">
        <f>I104+I110+I114</f>
        <v>0</v>
      </c>
      <c r="J101" s="32">
        <f>E101+F101+G101+H101</f>
        <v>14766469.658</v>
      </c>
      <c r="K101" s="92" t="e">
        <f>J101/J$141*100</f>
        <v>#REF!</v>
      </c>
    </row>
    <row r="102" spans="1:11" ht="15.75" x14ac:dyDescent="0.25">
      <c r="A102" s="88"/>
      <c r="B102" s="89"/>
      <c r="C102" s="96" t="s">
        <v>528</v>
      </c>
      <c r="D102" s="97" t="s">
        <v>528</v>
      </c>
      <c r="E102" s="86"/>
      <c r="F102" s="86"/>
      <c r="G102" s="86"/>
      <c r="H102" s="86"/>
      <c r="I102" s="86"/>
      <c r="J102" s="86"/>
      <c r="K102" s="87"/>
    </row>
    <row r="103" spans="1:11" x14ac:dyDescent="0.2">
      <c r="A103" s="82"/>
      <c r="B103" s="94"/>
      <c r="C103" s="95"/>
      <c r="D103" s="98"/>
      <c r="E103" s="86"/>
      <c r="F103" s="86"/>
      <c r="G103" s="86"/>
      <c r="H103" s="86"/>
      <c r="I103" s="86"/>
      <c r="J103" s="86"/>
      <c r="K103" s="87"/>
    </row>
    <row r="104" spans="1:11" x14ac:dyDescent="0.2">
      <c r="A104" s="99">
        <v>720</v>
      </c>
      <c r="B104" s="100"/>
      <c r="C104" s="101" t="s">
        <v>529</v>
      </c>
      <c r="D104" s="102" t="s">
        <v>530</v>
      </c>
      <c r="E104" s="31">
        <f>SUM(E105:E108)</f>
        <v>3050499.79</v>
      </c>
      <c r="F104" s="31">
        <f>SUM(F105:F108)</f>
        <v>3897695.5090000005</v>
      </c>
      <c r="G104" s="31">
        <f>SUM(G105:G108)</f>
        <v>220000</v>
      </c>
      <c r="H104" s="31">
        <f>SUM(H105:H108)</f>
        <v>21711</v>
      </c>
      <c r="I104" s="31">
        <f>SUM(I105:I108)</f>
        <v>0</v>
      </c>
      <c r="J104" s="31">
        <f>E104+F104+G104+H104</f>
        <v>7189906.2990000006</v>
      </c>
      <c r="K104" s="103" t="e">
        <f>J104/J$141*100</f>
        <v>#REF!</v>
      </c>
    </row>
    <row r="105" spans="1:11" x14ac:dyDescent="0.2">
      <c r="A105" s="99">
        <v>7200</v>
      </c>
      <c r="B105" s="100"/>
      <c r="C105" s="101" t="s">
        <v>531</v>
      </c>
      <c r="D105" s="102" t="s">
        <v>532</v>
      </c>
      <c r="E105" s="31">
        <v>2766699.79</v>
      </c>
      <c r="F105" s="31">
        <v>3460004.4569999999</v>
      </c>
      <c r="G105" s="31">
        <v>220000</v>
      </c>
      <c r="H105" s="31">
        <v>17932</v>
      </c>
      <c r="I105" s="31"/>
      <c r="J105" s="31">
        <f>E105+F105+G105+H105</f>
        <v>6464636.2469999995</v>
      </c>
      <c r="K105" s="103" t="e">
        <f>J105/J$141*100</f>
        <v>#REF!</v>
      </c>
    </row>
    <row r="106" spans="1:11" x14ac:dyDescent="0.2">
      <c r="A106" s="99">
        <v>7201</v>
      </c>
      <c r="B106" s="100"/>
      <c r="C106" s="101" t="s">
        <v>533</v>
      </c>
      <c r="D106" s="102" t="s">
        <v>534</v>
      </c>
      <c r="E106" s="31">
        <v>220000</v>
      </c>
      <c r="F106" s="31">
        <v>14881.108999999999</v>
      </c>
      <c r="G106" s="31"/>
      <c r="H106" s="31">
        <v>315</v>
      </c>
      <c r="I106" s="31"/>
      <c r="J106" s="31">
        <f>E106+F106+G106+H106</f>
        <v>235196.109</v>
      </c>
      <c r="K106" s="103" t="e">
        <f>J106/J$141*100</f>
        <v>#REF!</v>
      </c>
    </row>
    <row r="107" spans="1:11" x14ac:dyDescent="0.2">
      <c r="A107" s="99">
        <v>7202</v>
      </c>
      <c r="B107" s="100"/>
      <c r="C107" s="101" t="s">
        <v>535</v>
      </c>
      <c r="D107" s="102" t="s">
        <v>536</v>
      </c>
      <c r="E107" s="31">
        <v>8600</v>
      </c>
      <c r="F107" s="31">
        <v>8091.6489999999994</v>
      </c>
      <c r="G107" s="31"/>
      <c r="H107" s="31">
        <v>2676</v>
      </c>
      <c r="I107" s="31"/>
      <c r="J107" s="31">
        <f>E107+F107+G107+H107</f>
        <v>19367.648999999998</v>
      </c>
      <c r="K107" s="103" t="e">
        <f>J107/J$141*100</f>
        <v>#REF!</v>
      </c>
    </row>
    <row r="108" spans="1:11" x14ac:dyDescent="0.2">
      <c r="A108" s="99">
        <v>7203</v>
      </c>
      <c r="B108" s="100"/>
      <c r="C108" s="101" t="s">
        <v>537</v>
      </c>
      <c r="D108" s="102" t="s">
        <v>538</v>
      </c>
      <c r="E108" s="31">
        <v>55200</v>
      </c>
      <c r="F108" s="31">
        <v>414718.29399999999</v>
      </c>
      <c r="G108" s="31"/>
      <c r="H108" s="31">
        <v>788</v>
      </c>
      <c r="I108" s="31"/>
      <c r="J108" s="31">
        <f>E108+F108+G108+H108</f>
        <v>470706.29399999999</v>
      </c>
      <c r="K108" s="103" t="e">
        <f>J108/J$141*100</f>
        <v>#REF!</v>
      </c>
    </row>
    <row r="109" spans="1:11" x14ac:dyDescent="0.2">
      <c r="A109" s="82"/>
      <c r="B109" s="94"/>
      <c r="C109" s="95"/>
      <c r="D109" s="98"/>
      <c r="E109" s="34"/>
      <c r="F109" s="34"/>
      <c r="G109" s="34"/>
      <c r="H109" s="34"/>
      <c r="I109" s="34"/>
      <c r="J109" s="34"/>
      <c r="K109" s="105"/>
    </row>
    <row r="110" spans="1:11" x14ac:dyDescent="0.2">
      <c r="A110" s="99">
        <v>721</v>
      </c>
      <c r="B110" s="100"/>
      <c r="C110" s="101" t="s">
        <v>539</v>
      </c>
      <c r="D110" s="102" t="s">
        <v>540</v>
      </c>
      <c r="E110" s="31">
        <f>E111+E112</f>
        <v>0</v>
      </c>
      <c r="F110" s="31">
        <f>F111+F112</f>
        <v>0</v>
      </c>
      <c r="G110" s="31">
        <f>G111+G112</f>
        <v>0</v>
      </c>
      <c r="H110" s="31">
        <f>H111+H112</f>
        <v>0</v>
      </c>
      <c r="I110" s="31">
        <f>I111+I112</f>
        <v>0</v>
      </c>
      <c r="J110" s="31">
        <f>E110+F110+G110+H110</f>
        <v>0</v>
      </c>
      <c r="K110" s="103" t="e">
        <f>J110/J$141*100</f>
        <v>#REF!</v>
      </c>
    </row>
    <row r="111" spans="1:11" x14ac:dyDescent="0.2">
      <c r="A111" s="99">
        <v>7210</v>
      </c>
      <c r="B111" s="100"/>
      <c r="C111" s="101" t="s">
        <v>541</v>
      </c>
      <c r="D111" s="102" t="s">
        <v>542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99">
        <v>7211</v>
      </c>
      <c r="B112" s="100"/>
      <c r="C112" s="101" t="s">
        <v>543</v>
      </c>
      <c r="D112" s="102" t="s">
        <v>544</v>
      </c>
      <c r="E112" s="31">
        <v>0</v>
      </c>
      <c r="F112" s="31"/>
      <c r="G112" s="31">
        <v>0</v>
      </c>
      <c r="H112" s="31">
        <v>0</v>
      </c>
      <c r="I112" s="31"/>
      <c r="J112" s="31">
        <f>E112+F112+G112+H112</f>
        <v>0</v>
      </c>
      <c r="K112" s="104"/>
    </row>
    <row r="113" spans="1:11" x14ac:dyDescent="0.2">
      <c r="A113" s="82"/>
      <c r="B113" s="94"/>
      <c r="C113" s="95"/>
      <c r="D113" s="98"/>
      <c r="E113" s="34"/>
      <c r="F113" s="34"/>
      <c r="G113" s="34"/>
      <c r="H113" s="34"/>
      <c r="I113" s="34"/>
      <c r="J113" s="34"/>
      <c r="K113" s="105"/>
    </row>
    <row r="114" spans="1:11" x14ac:dyDescent="0.2">
      <c r="A114" s="99">
        <v>722</v>
      </c>
      <c r="B114" s="100"/>
      <c r="C114" s="101" t="s">
        <v>545</v>
      </c>
      <c r="D114" s="102" t="s">
        <v>546</v>
      </c>
      <c r="E114" s="31">
        <f>E115+E116+E117</f>
        <v>525500</v>
      </c>
      <c r="F114" s="31">
        <f>F115+F116+F117</f>
        <v>7051063.3590000002</v>
      </c>
      <c r="G114" s="31">
        <f>G115+G116+G117</f>
        <v>0</v>
      </c>
      <c r="H114" s="31">
        <f>H115+H116+H117</f>
        <v>0</v>
      </c>
      <c r="I114" s="31">
        <f>I115+I116+I117</f>
        <v>0</v>
      </c>
      <c r="J114" s="31">
        <f>E114+F114+G114+H114</f>
        <v>7576563.3590000002</v>
      </c>
      <c r="K114" s="103" t="e">
        <f>J114/J$141*100</f>
        <v>#REF!</v>
      </c>
    </row>
    <row r="115" spans="1:11" x14ac:dyDescent="0.2">
      <c r="A115" s="99">
        <v>7220</v>
      </c>
      <c r="B115" s="100"/>
      <c r="C115" s="101" t="s">
        <v>547</v>
      </c>
      <c r="D115" s="102" t="s">
        <v>548</v>
      </c>
      <c r="E115" s="31">
        <v>0</v>
      </c>
      <c r="F115" s="31">
        <v>7051063.3590000002</v>
      </c>
      <c r="G115" s="31">
        <v>0</v>
      </c>
      <c r="H115" s="31">
        <v>0</v>
      </c>
      <c r="I115" s="31"/>
      <c r="J115" s="31">
        <f>E115+F115+G115+H115</f>
        <v>7051063.3590000002</v>
      </c>
      <c r="K115" s="104"/>
    </row>
    <row r="116" spans="1:11" x14ac:dyDescent="0.2">
      <c r="A116" s="99">
        <v>7221</v>
      </c>
      <c r="B116" s="100"/>
      <c r="C116" s="101" t="s">
        <v>549</v>
      </c>
      <c r="D116" s="102" t="s">
        <v>550</v>
      </c>
      <c r="E116" s="31">
        <v>525500</v>
      </c>
      <c r="F116" s="31">
        <v>0</v>
      </c>
      <c r="G116" s="31">
        <v>0</v>
      </c>
      <c r="H116" s="31">
        <v>0</v>
      </c>
      <c r="I116" s="31"/>
      <c r="J116" s="31">
        <f>E116+F116+G116+H116</f>
        <v>525500</v>
      </c>
      <c r="K116" s="104"/>
    </row>
    <row r="117" spans="1:11" x14ac:dyDescent="0.2">
      <c r="A117" s="99">
        <v>7222</v>
      </c>
      <c r="B117" s="100"/>
      <c r="C117" s="101" t="s">
        <v>551</v>
      </c>
      <c r="D117" s="102" t="s">
        <v>552</v>
      </c>
      <c r="E117" s="31">
        <v>0</v>
      </c>
      <c r="F117" s="31">
        <v>0</v>
      </c>
      <c r="G117" s="31">
        <v>0</v>
      </c>
      <c r="H117" s="31">
        <v>0</v>
      </c>
      <c r="I117" s="31"/>
      <c r="J117" s="31">
        <f>E117+F117+G117+H117</f>
        <v>0</v>
      </c>
      <c r="K117" s="104"/>
    </row>
    <row r="118" spans="1:11" x14ac:dyDescent="0.2">
      <c r="A118" s="82"/>
      <c r="B118" s="94"/>
      <c r="C118" s="95"/>
      <c r="D118" s="98" t="s">
        <v>462</v>
      </c>
      <c r="E118" s="86"/>
      <c r="F118" s="86"/>
      <c r="G118" s="86"/>
      <c r="H118" s="86"/>
      <c r="I118" s="86"/>
      <c r="J118" s="86"/>
      <c r="K118" s="87"/>
    </row>
    <row r="119" spans="1:11" ht="15.75" x14ac:dyDescent="0.25">
      <c r="A119" s="88">
        <v>73</v>
      </c>
      <c r="B119" s="89"/>
      <c r="C119" s="90" t="s">
        <v>553</v>
      </c>
      <c r="D119" s="91" t="s">
        <v>554</v>
      </c>
      <c r="E119" s="32">
        <f>E122+E126</f>
        <v>17290000</v>
      </c>
      <c r="F119" s="32">
        <f>F122+F126</f>
        <v>915017.41599999997</v>
      </c>
      <c r="G119" s="32">
        <f>G122+G126</f>
        <v>0</v>
      </c>
      <c r="H119" s="32">
        <f>H122+H126</f>
        <v>0</v>
      </c>
      <c r="I119" s="32">
        <f>I122+I126</f>
        <v>0</v>
      </c>
      <c r="J119" s="32">
        <f>E119+F119+G119+H119</f>
        <v>18205017.416000001</v>
      </c>
      <c r="K119" s="92" t="e">
        <f>J119/J$141*100</f>
        <v>#REF!</v>
      </c>
    </row>
    <row r="120" spans="1:11" ht="15.75" x14ac:dyDescent="0.25">
      <c r="A120" s="88"/>
      <c r="B120" s="89"/>
      <c r="C120" s="96" t="s">
        <v>555</v>
      </c>
      <c r="D120" s="97" t="s">
        <v>555</v>
      </c>
      <c r="E120" s="86"/>
      <c r="F120" s="86"/>
      <c r="G120" s="86"/>
      <c r="H120" s="86"/>
      <c r="I120" s="86"/>
      <c r="J120" s="86"/>
      <c r="K120" s="87"/>
    </row>
    <row r="121" spans="1:11" x14ac:dyDescent="0.2">
      <c r="A121" s="82"/>
      <c r="B121" s="94"/>
      <c r="C121" s="95"/>
      <c r="D121" s="98"/>
      <c r="E121" s="86"/>
      <c r="F121" s="86"/>
      <c r="G121" s="86"/>
      <c r="H121" s="86"/>
      <c r="I121" s="86"/>
      <c r="J121" s="86"/>
      <c r="K121" s="87"/>
    </row>
    <row r="122" spans="1:11" x14ac:dyDescent="0.2">
      <c r="A122" s="99">
        <v>730</v>
      </c>
      <c r="B122" s="100"/>
      <c r="C122" s="101" t="s">
        <v>556</v>
      </c>
      <c r="D122" s="102" t="s">
        <v>557</v>
      </c>
      <c r="E122" s="31">
        <f t="shared" ref="E122:J122" si="14">E123+E124</f>
        <v>10000</v>
      </c>
      <c r="F122" s="31">
        <f t="shared" si="14"/>
        <v>699818.86</v>
      </c>
      <c r="G122" s="31">
        <f t="shared" si="14"/>
        <v>0</v>
      </c>
      <c r="H122" s="31">
        <f t="shared" si="14"/>
        <v>0</v>
      </c>
      <c r="I122" s="31">
        <f t="shared" si="14"/>
        <v>0</v>
      </c>
      <c r="J122" s="31">
        <f t="shared" si="14"/>
        <v>709818.86</v>
      </c>
      <c r="K122" s="103" t="e">
        <f>J122/J$141*100</f>
        <v>#REF!</v>
      </c>
    </row>
    <row r="123" spans="1:11" x14ac:dyDescent="0.2">
      <c r="A123" s="99">
        <v>7300</v>
      </c>
      <c r="B123" s="100"/>
      <c r="C123" s="101" t="s">
        <v>558</v>
      </c>
      <c r="D123" s="102" t="s">
        <v>559</v>
      </c>
      <c r="E123" s="31">
        <v>10000</v>
      </c>
      <c r="F123" s="31">
        <v>699818.86</v>
      </c>
      <c r="G123" s="31">
        <v>0</v>
      </c>
      <c r="H123" s="31">
        <v>0</v>
      </c>
      <c r="I123" s="31"/>
      <c r="J123" s="31">
        <f>E123+F123+G123+H123</f>
        <v>709818.86</v>
      </c>
      <c r="K123" s="103" t="e">
        <f>J123/J$141*100</f>
        <v>#REF!</v>
      </c>
    </row>
    <row r="124" spans="1:11" x14ac:dyDescent="0.2">
      <c r="A124" s="99">
        <v>7301</v>
      </c>
      <c r="B124" s="100"/>
      <c r="C124" s="101" t="s">
        <v>560</v>
      </c>
      <c r="D124" s="102" t="s">
        <v>561</v>
      </c>
      <c r="E124" s="31">
        <v>0</v>
      </c>
      <c r="F124" s="31">
        <v>0</v>
      </c>
      <c r="G124" s="31">
        <v>0</v>
      </c>
      <c r="H124" s="31">
        <v>0</v>
      </c>
      <c r="I124" s="31"/>
      <c r="J124" s="31">
        <f>E124+F124+G124+H124</f>
        <v>0</v>
      </c>
      <c r="K124" s="103" t="e">
        <f>J124/J$141*100</f>
        <v>#REF!</v>
      </c>
    </row>
    <row r="125" spans="1:11" x14ac:dyDescent="0.2">
      <c r="A125" s="82"/>
      <c r="B125" s="94"/>
      <c r="C125" s="95"/>
      <c r="D125" s="98"/>
      <c r="E125" s="34"/>
      <c r="F125" s="34"/>
      <c r="G125" s="34"/>
      <c r="H125" s="34"/>
      <c r="I125" s="34"/>
      <c r="J125" s="34"/>
      <c r="K125" s="105"/>
    </row>
    <row r="126" spans="1:11" x14ac:dyDescent="0.2">
      <c r="A126" s="99">
        <v>731</v>
      </c>
      <c r="B126" s="100"/>
      <c r="C126" s="101" t="s">
        <v>563</v>
      </c>
      <c r="D126" s="102" t="s">
        <v>564</v>
      </c>
      <c r="E126" s="31">
        <f>E127+E128</f>
        <v>17280000</v>
      </c>
      <c r="F126" s="31">
        <f>F127+F128</f>
        <v>215198.55599999998</v>
      </c>
      <c r="G126" s="31">
        <f>G127+G128</f>
        <v>0</v>
      </c>
      <c r="H126" s="31">
        <f>H127+H128</f>
        <v>0</v>
      </c>
      <c r="I126" s="31">
        <f>I127+I128</f>
        <v>0</v>
      </c>
      <c r="J126" s="31">
        <f>E126+F126+G126+H126</f>
        <v>17495198.556000002</v>
      </c>
      <c r="K126" s="103" t="e">
        <f>J126/J$141*100</f>
        <v>#REF!</v>
      </c>
    </row>
    <row r="127" spans="1:11" x14ac:dyDescent="0.2">
      <c r="A127" s="99">
        <v>7310</v>
      </c>
      <c r="B127" s="100"/>
      <c r="C127" s="101" t="s">
        <v>565</v>
      </c>
      <c r="D127" s="102" t="s">
        <v>566</v>
      </c>
      <c r="E127" s="31">
        <v>3980000</v>
      </c>
      <c r="F127" s="31">
        <v>26550</v>
      </c>
      <c r="G127" s="31">
        <v>0</v>
      </c>
      <c r="H127" s="31">
        <v>0</v>
      </c>
      <c r="I127" s="31"/>
      <c r="J127" s="31">
        <f>E127+F127+G127+H127</f>
        <v>4006550</v>
      </c>
      <c r="K127" s="103" t="e">
        <f>J127/J$141*100</f>
        <v>#REF!</v>
      </c>
    </row>
    <row r="128" spans="1:11" x14ac:dyDescent="0.2">
      <c r="A128" s="99">
        <v>7311</v>
      </c>
      <c r="B128" s="100"/>
      <c r="C128" s="101" t="s">
        <v>567</v>
      </c>
      <c r="D128" s="102" t="s">
        <v>568</v>
      </c>
      <c r="E128" s="31">
        <v>13300000</v>
      </c>
      <c r="F128" s="31">
        <v>188648.55599999998</v>
      </c>
      <c r="G128" s="31">
        <v>0</v>
      </c>
      <c r="H128" s="31">
        <v>0</v>
      </c>
      <c r="I128" s="31"/>
      <c r="J128" s="31">
        <f>E128+F128+G128+H128</f>
        <v>13488648.556</v>
      </c>
      <c r="K128" s="103" t="e">
        <f>J128/J$141*100</f>
        <v>#REF!</v>
      </c>
    </row>
    <row r="129" spans="1:11" x14ac:dyDescent="0.2">
      <c r="A129" s="82"/>
      <c r="B129" s="94"/>
      <c r="C129" s="95"/>
      <c r="D129" s="98"/>
      <c r="E129" s="86"/>
      <c r="F129" s="86"/>
      <c r="G129" s="86"/>
      <c r="H129" s="86"/>
      <c r="I129" s="86"/>
      <c r="J129" s="86"/>
      <c r="K129" s="87"/>
    </row>
    <row r="130" spans="1:11" ht="15.75" x14ac:dyDescent="0.25">
      <c r="A130" s="69">
        <v>74</v>
      </c>
      <c r="B130" s="70"/>
      <c r="C130" s="77" t="s">
        <v>569</v>
      </c>
      <c r="D130" s="91" t="s">
        <v>570</v>
      </c>
      <c r="E130" s="73">
        <f>E132</f>
        <v>104700</v>
      </c>
      <c r="F130" s="73">
        <f>F132</f>
        <v>61973397.353</v>
      </c>
      <c r="G130" s="73">
        <f>G132</f>
        <v>230518929.12348402</v>
      </c>
      <c r="H130" s="73">
        <f>H132</f>
        <v>68335060</v>
      </c>
      <c r="I130" s="73">
        <f>I132</f>
        <v>353441390.069484</v>
      </c>
      <c r="J130" s="73">
        <f>+J132</f>
        <v>7490696.4069999997</v>
      </c>
      <c r="K130" s="92" t="e">
        <f>J130/J$141*100</f>
        <v>#REF!</v>
      </c>
    </row>
    <row r="131" spans="1:11" ht="15.75" x14ac:dyDescent="0.25">
      <c r="A131" s="69"/>
      <c r="B131" s="70"/>
      <c r="C131" s="112"/>
      <c r="D131" s="97" t="s">
        <v>462</v>
      </c>
      <c r="E131" s="113"/>
      <c r="F131" s="113"/>
      <c r="G131" s="113"/>
      <c r="H131" s="113"/>
      <c r="I131" s="113"/>
      <c r="J131" s="113"/>
      <c r="K131" s="87"/>
    </row>
    <row r="132" spans="1:11" x14ac:dyDescent="0.2">
      <c r="A132" s="106">
        <v>740</v>
      </c>
      <c r="B132" s="107"/>
      <c r="C132" s="108" t="s">
        <v>571</v>
      </c>
      <c r="D132" s="102" t="s">
        <v>572</v>
      </c>
      <c r="E132" s="109">
        <f>E134+E135+E136+E137</f>
        <v>104700</v>
      </c>
      <c r="F132" s="109">
        <f>F134+F135+F136+F137</f>
        <v>61973397.353</v>
      </c>
      <c r="G132" s="109">
        <f>G134+G135+G136+G137</f>
        <v>230518929.12348402</v>
      </c>
      <c r="H132" s="109">
        <f>H134+H135+H136+H137</f>
        <v>68335060</v>
      </c>
      <c r="I132" s="109">
        <f>I134+I135+I136+I137</f>
        <v>353441390.069484</v>
      </c>
      <c r="J132" s="109">
        <f>SUM(J134:J137)</f>
        <v>7490696.4069999997</v>
      </c>
      <c r="K132" s="103" t="e">
        <f>J132/J$141*100</f>
        <v>#REF!</v>
      </c>
    </row>
    <row r="133" spans="1:11" x14ac:dyDescent="0.2">
      <c r="A133" s="114"/>
      <c r="B133" s="115"/>
      <c r="C133" s="112" t="s">
        <v>573</v>
      </c>
      <c r="D133" s="97" t="s">
        <v>574</v>
      </c>
      <c r="E133" s="116"/>
      <c r="F133" s="116"/>
      <c r="G133" s="116"/>
      <c r="H133" s="116"/>
      <c r="I133" s="116"/>
      <c r="J133" s="116"/>
      <c r="K133" s="105"/>
    </row>
    <row r="134" spans="1:11" x14ac:dyDescent="0.2">
      <c r="A134" s="106">
        <v>7400</v>
      </c>
      <c r="B134" s="107"/>
      <c r="C134" s="108" t="s">
        <v>575</v>
      </c>
      <c r="D134" s="102" t="s">
        <v>576</v>
      </c>
      <c r="E134" s="117">
        <v>98400</v>
      </c>
      <c r="F134" s="117">
        <v>58310449</v>
      </c>
      <c r="G134" s="117">
        <v>223776264.12348402</v>
      </c>
      <c r="H134" s="117">
        <v>4106499</v>
      </c>
      <c r="I134" s="428">
        <v>286291612.12348402</v>
      </c>
      <c r="J134" s="109">
        <f>E134+F134+G134+H134-I134</f>
        <v>0</v>
      </c>
      <c r="K134" s="104"/>
    </row>
    <row r="135" spans="1:11" x14ac:dyDescent="0.2">
      <c r="A135" s="106">
        <v>7401</v>
      </c>
      <c r="B135" s="107"/>
      <c r="C135" s="108" t="s">
        <v>577</v>
      </c>
      <c r="D135" s="102" t="s">
        <v>578</v>
      </c>
      <c r="E135" s="109">
        <v>0</v>
      </c>
      <c r="F135" s="117">
        <v>2473024.02</v>
      </c>
      <c r="G135" s="109">
        <v>0</v>
      </c>
      <c r="H135" s="117">
        <v>2792033</v>
      </c>
      <c r="I135" s="428">
        <v>5265057.0199999996</v>
      </c>
      <c r="J135" s="109">
        <f>E135+F135+G135+H135-I135</f>
        <v>0</v>
      </c>
      <c r="K135" s="104"/>
    </row>
    <row r="136" spans="1:11" x14ac:dyDescent="0.2">
      <c r="A136" s="106">
        <v>7402</v>
      </c>
      <c r="B136" s="107"/>
      <c r="C136" s="108" t="s">
        <v>579</v>
      </c>
      <c r="D136" s="102" t="s">
        <v>580</v>
      </c>
      <c r="E136" s="117">
        <v>6300</v>
      </c>
      <c r="F136" s="117">
        <v>74227.925999999992</v>
      </c>
      <c r="G136" s="117">
        <v>367665</v>
      </c>
      <c r="H136" s="117">
        <v>61436528</v>
      </c>
      <c r="I136" s="428">
        <v>61884720.925999999</v>
      </c>
      <c r="J136" s="109">
        <f>E136+F136+G136+H136-I136</f>
        <v>0</v>
      </c>
      <c r="K136" s="104"/>
    </row>
    <row r="137" spans="1:11" x14ac:dyDescent="0.2">
      <c r="A137" s="106">
        <v>7403</v>
      </c>
      <c r="B137" s="107"/>
      <c r="C137" s="108" t="s">
        <v>581</v>
      </c>
      <c r="D137" s="102" t="s">
        <v>582</v>
      </c>
      <c r="E137" s="109">
        <v>0</v>
      </c>
      <c r="F137" s="109">
        <v>1115696.4069999999</v>
      </c>
      <c r="G137" s="109">
        <v>6375000</v>
      </c>
      <c r="H137" s="109">
        <v>0</v>
      </c>
      <c r="I137" s="109">
        <v>0</v>
      </c>
      <c r="J137" s="109">
        <f>E137+F137+G137+H137-I137</f>
        <v>7490696.4069999997</v>
      </c>
      <c r="K137" s="103" t="e">
        <f>J137/J$141*100</f>
        <v>#REF!</v>
      </c>
    </row>
    <row r="138" spans="1:11" ht="15.75" thickBot="1" x14ac:dyDescent="0.25">
      <c r="A138" s="120"/>
      <c r="B138" s="121"/>
      <c r="C138" s="122"/>
      <c r="D138" s="123"/>
      <c r="E138" s="124"/>
      <c r="F138" s="124"/>
      <c r="G138" s="124"/>
      <c r="H138" s="124"/>
      <c r="I138" s="124"/>
      <c r="J138" s="124"/>
      <c r="K138" s="125"/>
    </row>
    <row r="139" spans="1:11" ht="15.75" thickTop="1" x14ac:dyDescent="0.2">
      <c r="A139" s="126"/>
      <c r="B139" s="126"/>
      <c r="C139" s="127"/>
      <c r="D139" s="127"/>
      <c r="E139" s="128"/>
      <c r="F139" s="128"/>
      <c r="G139" s="128"/>
      <c r="H139" s="128"/>
      <c r="I139" s="128"/>
      <c r="J139" s="128"/>
      <c r="K139" s="128"/>
    </row>
    <row r="140" spans="1:11" ht="16.5" thickBot="1" x14ac:dyDescent="0.3">
      <c r="A140" s="53"/>
      <c r="B140" s="53"/>
      <c r="C140" s="54"/>
      <c r="D140" s="54"/>
      <c r="E140" s="129"/>
      <c r="F140" s="129"/>
      <c r="G140" s="129"/>
      <c r="H140" s="129"/>
      <c r="I140" s="129"/>
      <c r="J140" s="130"/>
      <c r="K140" s="130"/>
    </row>
    <row r="141" spans="1:11" ht="19.5" thickTop="1" thickBot="1" x14ac:dyDescent="0.3">
      <c r="A141" s="53" t="s">
        <v>866</v>
      </c>
      <c r="B141" s="53"/>
      <c r="C141" s="131" t="s">
        <v>583</v>
      </c>
      <c r="D141" s="131"/>
      <c r="E141" s="132"/>
      <c r="F141" s="132"/>
      <c r="G141" s="132"/>
      <c r="H141" s="132"/>
      <c r="I141" s="132"/>
      <c r="J141" s="133" t="e">
        <f>+#REF!</f>
        <v>#REF!</v>
      </c>
      <c r="K141" s="134"/>
    </row>
    <row r="142" spans="1:11" ht="17.25" thickTop="1" thickBot="1" x14ac:dyDescent="0.3">
      <c r="A142" s="53"/>
      <c r="B142" s="53"/>
      <c r="C142" s="54"/>
      <c r="D142" s="54"/>
      <c r="E142" s="10"/>
      <c r="F142" s="10"/>
      <c r="G142" s="10"/>
      <c r="H142" s="10"/>
      <c r="I142" s="134"/>
      <c r="J142" s="10"/>
      <c r="K142" s="10"/>
    </row>
    <row r="143" spans="1:11" ht="16.5" thickTop="1" thickBot="1" x14ac:dyDescent="0.25">
      <c r="A143" s="135"/>
      <c r="B143" s="136"/>
      <c r="C143" s="137"/>
      <c r="D143" s="138"/>
      <c r="E143" s="139"/>
      <c r="F143" s="139"/>
      <c r="G143" s="139"/>
      <c r="H143" s="139"/>
      <c r="I143" s="139"/>
      <c r="J143" s="140"/>
      <c r="K143" s="141"/>
    </row>
    <row r="144" spans="1:11" ht="17.25" thickTop="1" thickBot="1" x14ac:dyDescent="0.3">
      <c r="A144" s="69"/>
      <c r="B144" s="70" t="s">
        <v>83</v>
      </c>
      <c r="C144" s="77" t="s">
        <v>585</v>
      </c>
      <c r="D144" s="142"/>
      <c r="E144" s="73">
        <f>E147+E206+E248+E262</f>
        <v>1449652148</v>
      </c>
      <c r="F144" s="73">
        <f>F147+F206+F248+F262</f>
        <v>287455792.78273207</v>
      </c>
      <c r="G144" s="73">
        <f>G147+G206+G248+G262+1</f>
        <v>776433547.39865685</v>
      </c>
      <c r="H144" s="73">
        <f>H147+H206+H248+H262</f>
        <v>380873965.44054085</v>
      </c>
      <c r="I144" s="74">
        <f>I147+I206+I248+I262</f>
        <v>454562870.52779716</v>
      </c>
      <c r="J144" s="75">
        <f>E144+F144+G144+H144-I144</f>
        <v>2439852583.0941324</v>
      </c>
      <c r="K144" s="76" t="e">
        <f>J144/J$141*100</f>
        <v>#REF!</v>
      </c>
    </row>
    <row r="145" spans="1:11" ht="16.5" thickTop="1" x14ac:dyDescent="0.25">
      <c r="A145" s="69"/>
      <c r="B145" s="70"/>
      <c r="C145" s="77" t="s">
        <v>587</v>
      </c>
      <c r="D145" s="142"/>
      <c r="E145" s="143"/>
      <c r="F145" s="73"/>
      <c r="G145" s="73"/>
      <c r="H145" s="73"/>
      <c r="I145" s="73"/>
      <c r="J145" s="80"/>
      <c r="K145" s="144"/>
    </row>
    <row r="146" spans="1:11" x14ac:dyDescent="0.2">
      <c r="A146" s="82"/>
      <c r="B146" s="94"/>
      <c r="C146" s="95"/>
      <c r="D146" s="145"/>
      <c r="E146" s="34"/>
      <c r="F146" s="34"/>
      <c r="G146" s="34"/>
      <c r="H146" s="34"/>
      <c r="I146" s="34"/>
      <c r="J146" s="34"/>
      <c r="K146" s="105"/>
    </row>
    <row r="147" spans="1:11" ht="15.75" x14ac:dyDescent="0.25">
      <c r="A147" s="88">
        <v>40</v>
      </c>
      <c r="B147" s="89"/>
      <c r="C147" s="90" t="s">
        <v>588</v>
      </c>
      <c r="D147" s="146"/>
      <c r="E147" s="32">
        <f>E150+E162+E171+E186+E193+E200</f>
        <v>738028848</v>
      </c>
      <c r="F147" s="32">
        <f>F150+F162+F171+F186+F193+F200</f>
        <v>115991431.26594508</v>
      </c>
      <c r="G147" s="32">
        <f>G150+G162+G171+G186+G193+G200</f>
        <v>10625472</v>
      </c>
      <c r="H147" s="32">
        <f>H150+H162+H171+H186+H193+H200</f>
        <v>334445588.44054085</v>
      </c>
      <c r="I147" s="32">
        <f>+I162+I171</f>
        <v>101121480.4583132</v>
      </c>
      <c r="J147" s="32">
        <f>E147+F147+G147+H147-I147</f>
        <v>1097969859.2481728</v>
      </c>
      <c r="K147" s="92" t="e">
        <f>J147/J$141*100</f>
        <v>#REF!</v>
      </c>
    </row>
    <row r="148" spans="1:11" x14ac:dyDescent="0.2">
      <c r="A148" s="147"/>
      <c r="B148" s="148"/>
      <c r="C148" s="96" t="s">
        <v>816</v>
      </c>
      <c r="D148" s="145"/>
      <c r="E148" s="34"/>
      <c r="F148" s="34"/>
      <c r="G148" s="34"/>
      <c r="H148" s="34"/>
      <c r="I148" s="34"/>
      <c r="J148" s="34"/>
      <c r="K148" s="105"/>
    </row>
    <row r="149" spans="1:11" x14ac:dyDescent="0.2">
      <c r="A149" s="82"/>
      <c r="B149" s="94"/>
      <c r="C149" s="95"/>
      <c r="D149" s="145"/>
      <c r="E149" s="34"/>
      <c r="F149" s="34"/>
      <c r="G149" s="34"/>
      <c r="H149" s="34"/>
      <c r="I149" s="34"/>
      <c r="J149" s="34"/>
      <c r="K149" s="105"/>
    </row>
    <row r="150" spans="1:11" x14ac:dyDescent="0.2">
      <c r="A150" s="99"/>
      <c r="B150" s="100"/>
      <c r="C150" s="101" t="s">
        <v>817</v>
      </c>
      <c r="D150" s="149"/>
      <c r="E150" s="31">
        <f>+E152+E160</f>
        <v>382101386</v>
      </c>
      <c r="F150" s="31">
        <f>+F152+F160</f>
        <v>37274023.969650403</v>
      </c>
      <c r="G150" s="31">
        <f>+G152+G160</f>
        <v>3283870</v>
      </c>
      <c r="H150" s="31">
        <f>+H152+H160</f>
        <v>137307471</v>
      </c>
      <c r="I150" s="31">
        <f>+I152+I160</f>
        <v>0</v>
      </c>
      <c r="J150" s="31">
        <f>E150+F150+G150+H150-I150</f>
        <v>559966750.96965039</v>
      </c>
      <c r="K150" s="103" t="e">
        <f>J150/J$141*100</f>
        <v>#REF!</v>
      </c>
    </row>
    <row r="151" spans="1:11" x14ac:dyDescent="0.2">
      <c r="A151" s="82"/>
      <c r="B151" s="94"/>
      <c r="C151" s="96"/>
      <c r="D151" s="145"/>
      <c r="E151" s="86"/>
      <c r="F151" s="86"/>
      <c r="G151" s="86"/>
      <c r="H151" s="86"/>
      <c r="I151" s="86"/>
      <c r="J151" s="86"/>
      <c r="K151" s="110"/>
    </row>
    <row r="152" spans="1:11" x14ac:dyDescent="0.2">
      <c r="A152" s="99">
        <v>400</v>
      </c>
      <c r="B152" s="100"/>
      <c r="C152" s="101" t="s">
        <v>818</v>
      </c>
      <c r="D152" s="149"/>
      <c r="E152" s="31">
        <f>SUM(E153:E159)</f>
        <v>168314931</v>
      </c>
      <c r="F152" s="31">
        <v>16598311.7971</v>
      </c>
      <c r="G152" s="31">
        <v>3283870</v>
      </c>
      <c r="H152" s="31">
        <v>4208705</v>
      </c>
      <c r="I152" s="31">
        <v>0</v>
      </c>
      <c r="J152" s="31">
        <f>E152+F152+G152+H152-I152</f>
        <v>192405817.79710001</v>
      </c>
      <c r="K152" s="103" t="e">
        <f>J152/J$141*100</f>
        <v>#REF!</v>
      </c>
    </row>
    <row r="153" spans="1:11" x14ac:dyDescent="0.2">
      <c r="A153" s="99">
        <v>4000</v>
      </c>
      <c r="B153" s="100"/>
      <c r="C153" s="101" t="s">
        <v>593</v>
      </c>
      <c r="D153" s="149"/>
      <c r="E153" s="31">
        <v>143290950</v>
      </c>
      <c r="F153" s="202" t="s">
        <v>845</v>
      </c>
      <c r="G153" s="202" t="s">
        <v>845</v>
      </c>
      <c r="H153" s="202" t="s">
        <v>845</v>
      </c>
      <c r="I153" s="202" t="s">
        <v>845</v>
      </c>
      <c r="J153" s="202" t="s">
        <v>845</v>
      </c>
      <c r="K153" s="103"/>
    </row>
    <row r="154" spans="1:11" x14ac:dyDescent="0.2">
      <c r="A154" s="99">
        <v>4001</v>
      </c>
      <c r="B154" s="100"/>
      <c r="C154" s="101" t="s">
        <v>595</v>
      </c>
      <c r="D154" s="149"/>
      <c r="E154" s="31">
        <v>4993834</v>
      </c>
      <c r="F154" s="202" t="s">
        <v>845</v>
      </c>
      <c r="G154" s="202" t="s">
        <v>845</v>
      </c>
      <c r="H154" s="202" t="s">
        <v>845</v>
      </c>
      <c r="I154" s="202" t="s">
        <v>845</v>
      </c>
      <c r="J154" s="202" t="s">
        <v>845</v>
      </c>
      <c r="K154" s="103"/>
    </row>
    <row r="155" spans="1:11" x14ac:dyDescent="0.2">
      <c r="A155" s="99">
        <v>4002</v>
      </c>
      <c r="B155" s="100"/>
      <c r="C155" s="101" t="s">
        <v>597</v>
      </c>
      <c r="D155" s="149"/>
      <c r="E155" s="31">
        <v>13556160</v>
      </c>
      <c r="F155" s="202" t="s">
        <v>845</v>
      </c>
      <c r="G155" s="202" t="s">
        <v>845</v>
      </c>
      <c r="H155" s="202" t="s">
        <v>845</v>
      </c>
      <c r="I155" s="202" t="s">
        <v>845</v>
      </c>
      <c r="J155" s="202" t="s">
        <v>845</v>
      </c>
      <c r="K155" s="103"/>
    </row>
    <row r="156" spans="1:11" x14ac:dyDescent="0.2">
      <c r="A156" s="99">
        <v>4003</v>
      </c>
      <c r="B156" s="100"/>
      <c r="C156" s="101" t="s">
        <v>599</v>
      </c>
      <c r="D156" s="149"/>
      <c r="E156" s="31">
        <v>3463727</v>
      </c>
      <c r="F156" s="202" t="s">
        <v>845</v>
      </c>
      <c r="G156" s="202" t="s">
        <v>845</v>
      </c>
      <c r="H156" s="202" t="s">
        <v>845</v>
      </c>
      <c r="I156" s="202" t="s">
        <v>845</v>
      </c>
      <c r="J156" s="202" t="s">
        <v>845</v>
      </c>
      <c r="K156" s="103"/>
    </row>
    <row r="157" spans="1:11" x14ac:dyDescent="0.2">
      <c r="A157" s="99">
        <v>4004</v>
      </c>
      <c r="B157" s="100"/>
      <c r="C157" s="101" t="s">
        <v>601</v>
      </c>
      <c r="D157" s="149"/>
      <c r="E157" s="31">
        <v>1797655</v>
      </c>
      <c r="F157" s="202" t="s">
        <v>845</v>
      </c>
      <c r="G157" s="202" t="s">
        <v>845</v>
      </c>
      <c r="H157" s="202" t="s">
        <v>845</v>
      </c>
      <c r="I157" s="202" t="s">
        <v>845</v>
      </c>
      <c r="J157" s="202" t="s">
        <v>845</v>
      </c>
      <c r="K157" s="103"/>
    </row>
    <row r="158" spans="1:11" x14ac:dyDescent="0.2">
      <c r="A158" s="99">
        <v>4005</v>
      </c>
      <c r="B158" s="100"/>
      <c r="C158" s="101" t="s">
        <v>603</v>
      </c>
      <c r="D158" s="149"/>
      <c r="E158" s="31">
        <v>22064</v>
      </c>
      <c r="F158" s="202" t="s">
        <v>845</v>
      </c>
      <c r="G158" s="202" t="s">
        <v>845</v>
      </c>
      <c r="H158" s="202" t="s">
        <v>845</v>
      </c>
      <c r="I158" s="202" t="s">
        <v>845</v>
      </c>
      <c r="J158" s="202" t="s">
        <v>845</v>
      </c>
      <c r="K158" s="103"/>
    </row>
    <row r="159" spans="1:11" x14ac:dyDescent="0.2">
      <c r="A159" s="99">
        <v>4009</v>
      </c>
      <c r="B159" s="100"/>
      <c r="C159" s="101" t="s">
        <v>605</v>
      </c>
      <c r="D159" s="149"/>
      <c r="E159" s="31">
        <v>1190541</v>
      </c>
      <c r="F159" s="202" t="s">
        <v>845</v>
      </c>
      <c r="G159" s="202" t="s">
        <v>845</v>
      </c>
      <c r="H159" s="202" t="s">
        <v>845</v>
      </c>
      <c r="I159" s="202" t="s">
        <v>845</v>
      </c>
      <c r="J159" s="202" t="s">
        <v>845</v>
      </c>
      <c r="K159" s="103"/>
    </row>
    <row r="160" spans="1:11" x14ac:dyDescent="0.2">
      <c r="A160" s="99">
        <v>413300</v>
      </c>
      <c r="B160" s="100"/>
      <c r="C160" s="101" t="s">
        <v>819</v>
      </c>
      <c r="D160" s="149"/>
      <c r="E160" s="31">
        <v>213786455</v>
      </c>
      <c r="F160" s="31">
        <v>20675712.172550403</v>
      </c>
      <c r="G160" s="31">
        <v>0</v>
      </c>
      <c r="H160" s="31">
        <v>133098766</v>
      </c>
      <c r="I160" s="31">
        <v>0</v>
      </c>
      <c r="J160" s="31">
        <f>E160+F160+G160+H160-I160</f>
        <v>367560933.17255044</v>
      </c>
      <c r="K160" s="103" t="e">
        <f>J160/J$141*100</f>
        <v>#REF!</v>
      </c>
    </row>
    <row r="161" spans="1:11" x14ac:dyDescent="0.2">
      <c r="A161" s="82"/>
      <c r="B161" s="94"/>
      <c r="C161" s="95"/>
      <c r="D161" s="145"/>
      <c r="E161" s="34"/>
      <c r="F161" s="34"/>
      <c r="G161" s="34"/>
      <c r="H161" s="34"/>
      <c r="I161" s="34"/>
      <c r="J161" s="34"/>
      <c r="K161" s="150"/>
    </row>
    <row r="162" spans="1:11" x14ac:dyDescent="0.2">
      <c r="A162" s="151"/>
      <c r="B162" s="115"/>
      <c r="C162" s="112" t="s">
        <v>820</v>
      </c>
      <c r="D162" s="152"/>
      <c r="E162" s="113">
        <f>+E164+E169</f>
        <v>66560563</v>
      </c>
      <c r="F162" s="113">
        <f>+F164+F169</f>
        <v>5010270.4583131988</v>
      </c>
      <c r="G162" s="113">
        <f>+G164+G169</f>
        <v>471630</v>
      </c>
      <c r="H162" s="113">
        <f>+H164+H169</f>
        <v>29079017</v>
      </c>
      <c r="I162" s="426">
        <f>+I164+I169</f>
        <v>101121480.4583132</v>
      </c>
      <c r="J162" s="113">
        <f>E162+F162+G162+H162-I162</f>
        <v>0</v>
      </c>
      <c r="K162" s="110"/>
    </row>
    <row r="163" spans="1:11" x14ac:dyDescent="0.2">
      <c r="A163" s="151"/>
      <c r="B163" s="115"/>
      <c r="C163" s="112"/>
      <c r="D163" s="152"/>
      <c r="E163" s="113"/>
      <c r="F163" s="113"/>
      <c r="G163" s="113"/>
      <c r="H163" s="113"/>
      <c r="I163" s="113"/>
      <c r="J163" s="113"/>
      <c r="K163" s="110"/>
    </row>
    <row r="164" spans="1:11" x14ac:dyDescent="0.2">
      <c r="A164" s="106">
        <v>401</v>
      </c>
      <c r="B164" s="107"/>
      <c r="C164" s="108" t="s">
        <v>832</v>
      </c>
      <c r="D164" s="153"/>
      <c r="E164" s="109">
        <f>SUM(E165:E168)</f>
        <v>27458467</v>
      </c>
      <c r="F164" s="109">
        <f>SUM(F165:F168)</f>
        <v>2363491.2643999993</v>
      </c>
      <c r="G164" s="109">
        <f>SUM(G165:G168)</f>
        <v>471630</v>
      </c>
      <c r="H164" s="109">
        <f>SUM(H165:H168)</f>
        <v>602228.99999999988</v>
      </c>
      <c r="I164" s="109">
        <f>SUM(I165:I168)</f>
        <v>30895817.264399998</v>
      </c>
      <c r="J164" s="109">
        <f t="shared" ref="J164:J169" si="15">E164+F164+G164+H164-I164</f>
        <v>0</v>
      </c>
      <c r="K164" s="103"/>
    </row>
    <row r="165" spans="1:11" x14ac:dyDescent="0.2">
      <c r="A165" s="106">
        <v>4010</v>
      </c>
      <c r="B165" s="107"/>
      <c r="C165" s="108" t="s">
        <v>608</v>
      </c>
      <c r="D165" s="153"/>
      <c r="E165" s="109">
        <v>16974901</v>
      </c>
      <c r="F165" s="109">
        <v>1488999.4965719995</v>
      </c>
      <c r="G165" s="109">
        <v>259250</v>
      </c>
      <c r="H165" s="109">
        <v>335441.55300000001</v>
      </c>
      <c r="I165" s="109">
        <v>19058592.049571998</v>
      </c>
      <c r="J165" s="109">
        <f t="shared" si="15"/>
        <v>0</v>
      </c>
      <c r="K165" s="104"/>
    </row>
    <row r="166" spans="1:11" x14ac:dyDescent="0.2">
      <c r="A166" s="106">
        <v>4011</v>
      </c>
      <c r="B166" s="107"/>
      <c r="C166" s="108" t="s">
        <v>613</v>
      </c>
      <c r="D166" s="153"/>
      <c r="E166" s="109">
        <v>10249122</v>
      </c>
      <c r="F166" s="109">
        <v>846129.87265519972</v>
      </c>
      <c r="G166" s="109">
        <v>207693</v>
      </c>
      <c r="H166" s="109">
        <v>260765.15700000001</v>
      </c>
      <c r="I166" s="109">
        <v>11563710.029655199</v>
      </c>
      <c r="J166" s="109">
        <f t="shared" si="15"/>
        <v>0</v>
      </c>
      <c r="K166" s="104"/>
    </row>
    <row r="167" spans="1:11" x14ac:dyDescent="0.2">
      <c r="A167" s="106">
        <v>4012</v>
      </c>
      <c r="B167" s="107"/>
      <c r="C167" s="108" t="s">
        <v>615</v>
      </c>
      <c r="D167" s="153"/>
      <c r="E167" s="109">
        <v>88263</v>
      </c>
      <c r="F167" s="109">
        <v>12999.201954199996</v>
      </c>
      <c r="G167" s="109">
        <v>1758</v>
      </c>
      <c r="H167" s="109">
        <v>2408.9160000000002</v>
      </c>
      <c r="I167" s="109">
        <v>105429.11795419999</v>
      </c>
      <c r="J167" s="109">
        <f t="shared" si="15"/>
        <v>0</v>
      </c>
      <c r="K167" s="104"/>
    </row>
    <row r="168" spans="1:11" x14ac:dyDescent="0.2">
      <c r="A168" s="106">
        <v>4013</v>
      </c>
      <c r="B168" s="107"/>
      <c r="C168" s="108" t="s">
        <v>617</v>
      </c>
      <c r="D168" s="153"/>
      <c r="E168" s="109">
        <v>146181</v>
      </c>
      <c r="F168" s="109">
        <v>15362.693218599994</v>
      </c>
      <c r="G168" s="109">
        <v>2929</v>
      </c>
      <c r="H168" s="109">
        <v>3613.3740000000003</v>
      </c>
      <c r="I168" s="109">
        <v>168086.06721860002</v>
      </c>
      <c r="J168" s="109">
        <f t="shared" si="15"/>
        <v>0</v>
      </c>
      <c r="K168" s="104"/>
    </row>
    <row r="169" spans="1:11" x14ac:dyDescent="0.2">
      <c r="A169" s="106">
        <v>413301</v>
      </c>
      <c r="B169" s="107"/>
      <c r="C169" s="108" t="s">
        <v>821</v>
      </c>
      <c r="D169" s="153"/>
      <c r="E169" s="109">
        <v>39102096</v>
      </c>
      <c r="F169" s="109">
        <v>2646779.1939131999</v>
      </c>
      <c r="G169" s="109">
        <v>0</v>
      </c>
      <c r="H169" s="109">
        <v>28476788</v>
      </c>
      <c r="I169" s="109">
        <v>70225663.193913192</v>
      </c>
      <c r="J169" s="109">
        <f t="shared" si="15"/>
        <v>0</v>
      </c>
      <c r="K169" s="104"/>
    </row>
    <row r="170" spans="1:11" x14ac:dyDescent="0.2">
      <c r="A170" s="82"/>
      <c r="B170" s="94"/>
      <c r="C170" s="95"/>
      <c r="D170" s="145"/>
      <c r="E170" s="34"/>
      <c r="F170" s="34"/>
      <c r="G170" s="34"/>
      <c r="H170" s="34"/>
      <c r="I170" s="34"/>
      <c r="J170" s="34"/>
      <c r="K170" s="105"/>
    </row>
    <row r="171" spans="1:11" x14ac:dyDescent="0.2">
      <c r="A171" s="99"/>
      <c r="B171" s="100"/>
      <c r="C171" s="101" t="s">
        <v>822</v>
      </c>
      <c r="D171" s="149"/>
      <c r="E171" s="31">
        <f t="shared" ref="E171:J171" si="16">+E173+E184</f>
        <v>197467087</v>
      </c>
      <c r="F171" s="31">
        <f t="shared" si="16"/>
        <v>71499851.688566491</v>
      </c>
      <c r="G171" s="31">
        <f t="shared" si="16"/>
        <v>5449972</v>
      </c>
      <c r="H171" s="31">
        <f t="shared" si="16"/>
        <v>167659100.44054085</v>
      </c>
      <c r="I171" s="31">
        <f t="shared" si="16"/>
        <v>0</v>
      </c>
      <c r="J171" s="31">
        <f t="shared" si="16"/>
        <v>442076011.12910736</v>
      </c>
      <c r="K171" s="103" t="e">
        <f>J171/J$141*100</f>
        <v>#REF!</v>
      </c>
    </row>
    <row r="172" spans="1:11" x14ac:dyDescent="0.2">
      <c r="A172" s="82"/>
      <c r="B172" s="94"/>
      <c r="C172" s="96"/>
      <c r="D172" s="145"/>
      <c r="E172" s="86"/>
      <c r="F172" s="86"/>
      <c r="G172" s="86"/>
      <c r="H172" s="86"/>
      <c r="I172" s="86"/>
      <c r="J172" s="86"/>
      <c r="K172" s="110"/>
    </row>
    <row r="173" spans="1:11" x14ac:dyDescent="0.2">
      <c r="A173" s="99">
        <v>402</v>
      </c>
      <c r="B173" s="100"/>
      <c r="C173" s="101" t="s">
        <v>833</v>
      </c>
      <c r="D173" s="149"/>
      <c r="E173" s="31">
        <f>SUM(E174:E183)</f>
        <v>145541251</v>
      </c>
      <c r="F173" s="31">
        <f>SUM(F174:F183)</f>
        <v>42557895.887366489</v>
      </c>
      <c r="G173" s="31">
        <v>5449972</v>
      </c>
      <c r="H173" s="31">
        <v>5655313</v>
      </c>
      <c r="I173" s="31">
        <f>SUM(I174:I183)</f>
        <v>0</v>
      </c>
      <c r="J173" s="31">
        <f>E173+F173+G173+H173-I173</f>
        <v>199204431.88736647</v>
      </c>
      <c r="K173" s="103" t="e">
        <f>J173/J$141*100</f>
        <v>#REF!</v>
      </c>
    </row>
    <row r="174" spans="1:11" x14ac:dyDescent="0.2">
      <c r="A174" s="99">
        <v>4020</v>
      </c>
      <c r="B174" s="100"/>
      <c r="C174" s="101" t="s">
        <v>937</v>
      </c>
      <c r="D174" s="149"/>
      <c r="E174" s="31">
        <v>20162768</v>
      </c>
      <c r="F174" s="31">
        <v>6057004.1217</v>
      </c>
      <c r="G174" s="202" t="s">
        <v>845</v>
      </c>
      <c r="H174" s="202" t="s">
        <v>845</v>
      </c>
      <c r="I174" s="202" t="s">
        <v>845</v>
      </c>
      <c r="J174" s="202" t="s">
        <v>845</v>
      </c>
      <c r="K174" s="155"/>
    </row>
    <row r="175" spans="1:11" x14ac:dyDescent="0.2">
      <c r="A175" s="99">
        <v>4021</v>
      </c>
      <c r="B175" s="100"/>
      <c r="C175" s="101" t="s">
        <v>939</v>
      </c>
      <c r="D175" s="149"/>
      <c r="E175" s="31">
        <v>34078756</v>
      </c>
      <c r="F175" s="31">
        <v>1322095.4654999999</v>
      </c>
      <c r="G175" s="202" t="s">
        <v>845</v>
      </c>
      <c r="H175" s="202" t="s">
        <v>845</v>
      </c>
      <c r="I175" s="202" t="s">
        <v>845</v>
      </c>
      <c r="J175" s="202" t="s">
        <v>845</v>
      </c>
      <c r="K175" s="155"/>
    </row>
    <row r="176" spans="1:11" x14ac:dyDescent="0.2">
      <c r="A176" s="99">
        <v>4022</v>
      </c>
      <c r="B176" s="100"/>
      <c r="C176" s="101" t="s">
        <v>941</v>
      </c>
      <c r="D176" s="149"/>
      <c r="E176" s="31">
        <v>11540380</v>
      </c>
      <c r="F176" s="31">
        <v>5513061.1526800003</v>
      </c>
      <c r="G176" s="202" t="s">
        <v>845</v>
      </c>
      <c r="H176" s="202" t="s">
        <v>845</v>
      </c>
      <c r="I176" s="202" t="s">
        <v>845</v>
      </c>
      <c r="J176" s="202" t="s">
        <v>845</v>
      </c>
      <c r="K176" s="155"/>
    </row>
    <row r="177" spans="1:11" x14ac:dyDescent="0.2">
      <c r="A177" s="99">
        <v>4023</v>
      </c>
      <c r="B177" s="100"/>
      <c r="C177" s="101" t="s">
        <v>943</v>
      </c>
      <c r="D177" s="149"/>
      <c r="E177" s="31">
        <v>7552646</v>
      </c>
      <c r="F177" s="31">
        <v>638410.42241999996</v>
      </c>
      <c r="G177" s="202" t="s">
        <v>845</v>
      </c>
      <c r="H177" s="202" t="s">
        <v>845</v>
      </c>
      <c r="I177" s="202" t="s">
        <v>845</v>
      </c>
      <c r="J177" s="202" t="s">
        <v>845</v>
      </c>
      <c r="K177" s="155"/>
    </row>
    <row r="178" spans="1:11" x14ac:dyDescent="0.2">
      <c r="A178" s="99">
        <v>4024</v>
      </c>
      <c r="B178" s="100"/>
      <c r="C178" s="101" t="s">
        <v>945</v>
      </c>
      <c r="D178" s="149"/>
      <c r="E178" s="31">
        <v>4032566</v>
      </c>
      <c r="F178" s="31">
        <v>341847.88164000004</v>
      </c>
      <c r="G178" s="202" t="s">
        <v>845</v>
      </c>
      <c r="H178" s="202" t="s">
        <v>845</v>
      </c>
      <c r="I178" s="202" t="s">
        <v>845</v>
      </c>
      <c r="J178" s="202" t="s">
        <v>845</v>
      </c>
      <c r="K178" s="155"/>
    </row>
    <row r="179" spans="1:11" x14ac:dyDescent="0.2">
      <c r="A179" s="99">
        <v>4025</v>
      </c>
      <c r="B179" s="100"/>
      <c r="C179" s="101" t="s">
        <v>947</v>
      </c>
      <c r="D179" s="149"/>
      <c r="E179" s="31">
        <v>20832320</v>
      </c>
      <c r="F179" s="31">
        <v>16398008.608229998</v>
      </c>
      <c r="G179" s="202" t="s">
        <v>845</v>
      </c>
      <c r="H179" s="202" t="s">
        <v>845</v>
      </c>
      <c r="I179" s="202" t="s">
        <v>845</v>
      </c>
      <c r="J179" s="202" t="s">
        <v>845</v>
      </c>
      <c r="K179" s="155"/>
    </row>
    <row r="180" spans="1:11" x14ac:dyDescent="0.2">
      <c r="A180" s="99">
        <v>4026</v>
      </c>
      <c r="B180" s="100"/>
      <c r="C180" s="101" t="s">
        <v>949</v>
      </c>
      <c r="D180" s="149"/>
      <c r="E180" s="31">
        <v>12408107</v>
      </c>
      <c r="F180" s="31">
        <v>912564.12975999981</v>
      </c>
      <c r="G180" s="202" t="s">
        <v>845</v>
      </c>
      <c r="H180" s="202" t="s">
        <v>845</v>
      </c>
      <c r="I180" s="202" t="s">
        <v>845</v>
      </c>
      <c r="J180" s="202" t="s">
        <v>845</v>
      </c>
      <c r="K180" s="155"/>
    </row>
    <row r="181" spans="1:11" x14ac:dyDescent="0.2">
      <c r="A181" s="99">
        <v>4027</v>
      </c>
      <c r="B181" s="100"/>
      <c r="C181" s="101" t="s">
        <v>951</v>
      </c>
      <c r="D181" s="149"/>
      <c r="E181" s="31">
        <v>3053384</v>
      </c>
      <c r="F181" s="31">
        <v>2545425.3185099997</v>
      </c>
      <c r="G181" s="202" t="s">
        <v>845</v>
      </c>
      <c r="H181" s="202" t="s">
        <v>845</v>
      </c>
      <c r="I181" s="202" t="s">
        <v>845</v>
      </c>
      <c r="J181" s="202" t="s">
        <v>845</v>
      </c>
      <c r="K181" s="155"/>
    </row>
    <row r="182" spans="1:11" x14ac:dyDescent="0.2">
      <c r="A182" s="99">
        <v>4028</v>
      </c>
      <c r="B182" s="100"/>
      <c r="C182" s="101" t="s">
        <v>265</v>
      </c>
      <c r="D182" s="149"/>
      <c r="E182" s="31">
        <v>8443083</v>
      </c>
      <c r="F182" s="31">
        <v>722488.8654264959</v>
      </c>
      <c r="G182" s="202" t="s">
        <v>845</v>
      </c>
      <c r="H182" s="202" t="s">
        <v>845</v>
      </c>
      <c r="I182" s="202" t="s">
        <v>845</v>
      </c>
      <c r="J182" s="202" t="s">
        <v>845</v>
      </c>
      <c r="K182" s="155"/>
    </row>
    <row r="183" spans="1:11" x14ac:dyDescent="0.2">
      <c r="A183" s="99">
        <v>4029</v>
      </c>
      <c r="B183" s="100"/>
      <c r="C183" s="101" t="s">
        <v>953</v>
      </c>
      <c r="D183" s="149"/>
      <c r="E183" s="31">
        <v>23437241</v>
      </c>
      <c r="F183" s="31">
        <v>8106989.9214999992</v>
      </c>
      <c r="G183" s="202" t="s">
        <v>845</v>
      </c>
      <c r="H183" s="202" t="s">
        <v>845</v>
      </c>
      <c r="I183" s="202" t="s">
        <v>845</v>
      </c>
      <c r="J183" s="202" t="s">
        <v>845</v>
      </c>
      <c r="K183" s="155"/>
    </row>
    <row r="184" spans="1:11" x14ac:dyDescent="0.2">
      <c r="A184" s="99">
        <v>413302</v>
      </c>
      <c r="B184" s="100"/>
      <c r="C184" s="101" t="s">
        <v>823</v>
      </c>
      <c r="D184" s="149"/>
      <c r="E184" s="31">
        <v>51925836</v>
      </c>
      <c r="F184" s="31">
        <v>28941955.801199999</v>
      </c>
      <c r="G184" s="31">
        <v>0</v>
      </c>
      <c r="H184" s="31">
        <v>162003787.44054085</v>
      </c>
      <c r="I184" s="31">
        <v>0</v>
      </c>
      <c r="J184" s="31">
        <f>E184+F184+G184+H184-I184</f>
        <v>242871579.24174085</v>
      </c>
      <c r="K184" s="103" t="e">
        <f>J184/J$141*100</f>
        <v>#REF!</v>
      </c>
    </row>
    <row r="185" spans="1:11" x14ac:dyDescent="0.2">
      <c r="A185" s="82"/>
      <c r="B185" s="94"/>
      <c r="C185" s="95"/>
      <c r="D185" s="145"/>
      <c r="E185" s="34"/>
      <c r="F185" s="34"/>
      <c r="G185" s="34"/>
      <c r="H185" s="34"/>
      <c r="I185" s="34"/>
      <c r="J185" s="34"/>
      <c r="K185" s="105"/>
    </row>
    <row r="186" spans="1:11" x14ac:dyDescent="0.2">
      <c r="A186" s="99">
        <v>403</v>
      </c>
      <c r="B186" s="100"/>
      <c r="C186" s="101" t="s">
        <v>957</v>
      </c>
      <c r="D186" s="149"/>
      <c r="E186" s="31">
        <f>SUM(E187:E191)</f>
        <v>51779629</v>
      </c>
      <c r="F186" s="31">
        <f>SUM(F187:F191)</f>
        <v>866535.46389499994</v>
      </c>
      <c r="G186" s="31">
        <f>SUM(G187:G191)</f>
        <v>1420000</v>
      </c>
      <c r="H186" s="31">
        <f>SUM(H187:H191)</f>
        <v>400000</v>
      </c>
      <c r="I186" s="31">
        <f>SUM(I187:I191)</f>
        <v>0</v>
      </c>
      <c r="J186" s="31">
        <f>E186+F186+G186+H186-I186</f>
        <v>54466164.463895001</v>
      </c>
      <c r="K186" s="103" t="e">
        <f t="shared" ref="K186:K191" si="17">J186/J$141*100</f>
        <v>#REF!</v>
      </c>
    </row>
    <row r="187" spans="1:11" x14ac:dyDescent="0.2">
      <c r="A187" s="99">
        <v>4030</v>
      </c>
      <c r="B187" s="100"/>
      <c r="C187" s="101" t="s">
        <v>959</v>
      </c>
      <c r="D187" s="149"/>
      <c r="E187" s="31">
        <v>0</v>
      </c>
      <c r="F187" s="31">
        <v>0</v>
      </c>
      <c r="G187" s="31">
        <v>0</v>
      </c>
      <c r="H187" s="31">
        <v>0</v>
      </c>
      <c r="I187" s="31"/>
      <c r="J187" s="31">
        <f>E187+F187+G187+H187</f>
        <v>0</v>
      </c>
      <c r="K187" s="103" t="e">
        <f t="shared" si="17"/>
        <v>#REF!</v>
      </c>
    </row>
    <row r="188" spans="1:11" x14ac:dyDescent="0.2">
      <c r="A188" s="99">
        <v>4031</v>
      </c>
      <c r="B188" s="100"/>
      <c r="C188" s="101" t="s">
        <v>961</v>
      </c>
      <c r="D188" s="149"/>
      <c r="E188" s="31">
        <v>9093867</v>
      </c>
      <c r="F188" s="31">
        <v>653843.56916999992</v>
      </c>
      <c r="G188" s="31">
        <v>1420000</v>
      </c>
      <c r="H188" s="31">
        <v>400000</v>
      </c>
      <c r="I188" s="31"/>
      <c r="J188" s="31">
        <f>E188+F188+G188+H188</f>
        <v>11567710.56917</v>
      </c>
      <c r="K188" s="103" t="e">
        <f t="shared" si="17"/>
        <v>#REF!</v>
      </c>
    </row>
    <row r="189" spans="1:11" x14ac:dyDescent="0.2">
      <c r="A189" s="99">
        <v>4032</v>
      </c>
      <c r="B189" s="100"/>
      <c r="C189" s="101" t="s">
        <v>963</v>
      </c>
      <c r="D189" s="149"/>
      <c r="E189" s="31">
        <v>183101</v>
      </c>
      <c r="F189" s="31">
        <v>22076.255000000001</v>
      </c>
      <c r="G189" s="31">
        <v>0</v>
      </c>
      <c r="H189" s="31">
        <v>0</v>
      </c>
      <c r="I189" s="31"/>
      <c r="J189" s="31">
        <f>E189+F189+G189+H189</f>
        <v>205177.255</v>
      </c>
      <c r="K189" s="103" t="e">
        <f t="shared" si="17"/>
        <v>#REF!</v>
      </c>
    </row>
    <row r="190" spans="1:11" x14ac:dyDescent="0.2">
      <c r="A190" s="99">
        <v>4033</v>
      </c>
      <c r="B190" s="100"/>
      <c r="C190" s="101" t="s">
        <v>965</v>
      </c>
      <c r="D190" s="149"/>
      <c r="E190" s="31">
        <v>660</v>
      </c>
      <c r="F190" s="31">
        <v>178313.684725</v>
      </c>
      <c r="G190" s="31">
        <v>0</v>
      </c>
      <c r="H190" s="31">
        <v>0</v>
      </c>
      <c r="I190" s="31"/>
      <c r="J190" s="31">
        <f>E190+F190+G190+H190</f>
        <v>178973.684725</v>
      </c>
      <c r="K190" s="103" t="e">
        <f t="shared" si="17"/>
        <v>#REF!</v>
      </c>
    </row>
    <row r="191" spans="1:11" x14ac:dyDescent="0.2">
      <c r="A191" s="99">
        <v>4034</v>
      </c>
      <c r="B191" s="100"/>
      <c r="C191" s="101" t="s">
        <v>967</v>
      </c>
      <c r="D191" s="149"/>
      <c r="E191" s="31">
        <v>42502001</v>
      </c>
      <c r="F191" s="31">
        <v>12301.955</v>
      </c>
      <c r="G191" s="31">
        <v>0</v>
      </c>
      <c r="H191" s="31">
        <v>0</v>
      </c>
      <c r="I191" s="31"/>
      <c r="J191" s="31">
        <f>E191+F191+G191+H191</f>
        <v>42514302.954999998</v>
      </c>
      <c r="K191" s="103" t="e">
        <f t="shared" si="17"/>
        <v>#REF!</v>
      </c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>
        <v>404</v>
      </c>
      <c r="B193" s="100"/>
      <c r="C193" s="101" t="s">
        <v>969</v>
      </c>
      <c r="D193" s="149"/>
      <c r="E193" s="31">
        <f>SUM(E194:E198)</f>
        <v>32992405</v>
      </c>
      <c r="F193" s="31">
        <f>SUM(F194:F197)</f>
        <v>0</v>
      </c>
      <c r="G193" s="31">
        <f>SUM(G194:G197)</f>
        <v>0</v>
      </c>
      <c r="H193" s="31">
        <v>0</v>
      </c>
      <c r="I193" s="31">
        <f>SUM(I194:I197)</f>
        <v>0</v>
      </c>
      <c r="J193" s="31">
        <f>E193+F193+G193+H193-I193</f>
        <v>32992405</v>
      </c>
      <c r="K193" s="103" t="e">
        <f>J193/J$141*100</f>
        <v>#REF!</v>
      </c>
    </row>
    <row r="194" spans="1:11" x14ac:dyDescent="0.2">
      <c r="A194" s="99">
        <v>4040</v>
      </c>
      <c r="B194" s="100"/>
      <c r="C194" s="101" t="s">
        <v>971</v>
      </c>
      <c r="D194" s="149"/>
      <c r="E194" s="31">
        <v>4306044</v>
      </c>
      <c r="F194" s="31">
        <v>0</v>
      </c>
      <c r="G194" s="31">
        <v>0</v>
      </c>
      <c r="H194" s="31">
        <v>0</v>
      </c>
      <c r="I194" s="31"/>
      <c r="J194" s="31">
        <f>E194+F194+G194+H194</f>
        <v>4306044</v>
      </c>
      <c r="K194" s="103"/>
    </row>
    <row r="195" spans="1:11" x14ac:dyDescent="0.2">
      <c r="A195" s="99">
        <v>4041</v>
      </c>
      <c r="B195" s="100"/>
      <c r="C195" s="101" t="s">
        <v>973</v>
      </c>
      <c r="D195" s="149"/>
      <c r="E195" s="31">
        <v>25361</v>
      </c>
      <c r="F195" s="31">
        <v>0</v>
      </c>
      <c r="G195" s="31">
        <v>0</v>
      </c>
      <c r="H195" s="31">
        <v>0</v>
      </c>
      <c r="I195" s="31"/>
      <c r="J195" s="31">
        <f>E195+F195+G195+H195</f>
        <v>25361</v>
      </c>
      <c r="K195" s="103" t="e">
        <f>J195/J$141*100</f>
        <v>#REF!</v>
      </c>
    </row>
    <row r="196" spans="1:11" x14ac:dyDescent="0.2">
      <c r="A196" s="99">
        <v>4042</v>
      </c>
      <c r="B196" s="100"/>
      <c r="C196" s="101" t="s">
        <v>975</v>
      </c>
      <c r="D196" s="149"/>
      <c r="E196" s="31">
        <v>2081799</v>
      </c>
      <c r="F196" s="31">
        <v>0</v>
      </c>
      <c r="G196" s="31">
        <v>0</v>
      </c>
      <c r="H196" s="31">
        <v>0</v>
      </c>
      <c r="I196" s="31"/>
      <c r="J196" s="31">
        <f>E196+F196+G196+H196</f>
        <v>2081799</v>
      </c>
      <c r="K196" s="103" t="e">
        <f>J196/J$141*100</f>
        <v>#REF!</v>
      </c>
    </row>
    <row r="197" spans="1:11" x14ac:dyDescent="0.2">
      <c r="A197" s="99">
        <v>4043</v>
      </c>
      <c r="B197" s="100"/>
      <c r="C197" s="101" t="s">
        <v>977</v>
      </c>
      <c r="D197" s="149"/>
      <c r="E197" s="31">
        <v>0</v>
      </c>
      <c r="F197" s="31">
        <v>0</v>
      </c>
      <c r="G197" s="31">
        <v>0</v>
      </c>
      <c r="H197" s="31">
        <v>0</v>
      </c>
      <c r="I197" s="31"/>
      <c r="J197" s="31">
        <f>E197+F197+G197+H197</f>
        <v>0</v>
      </c>
      <c r="K197" s="103" t="e">
        <f>J197/J$141*100</f>
        <v>#REF!</v>
      </c>
    </row>
    <row r="198" spans="1:11" x14ac:dyDescent="0.2">
      <c r="A198" s="99">
        <v>4044</v>
      </c>
      <c r="B198" s="100"/>
      <c r="C198" s="101" t="s">
        <v>834</v>
      </c>
      <c r="D198" s="149"/>
      <c r="E198" s="31">
        <v>26579201</v>
      </c>
      <c r="F198" s="31">
        <v>0</v>
      </c>
      <c r="G198" s="31">
        <v>0</v>
      </c>
      <c r="H198" s="31">
        <v>0</v>
      </c>
      <c r="I198" s="31"/>
      <c r="J198" s="31">
        <f>E198+F198+G198+H198</f>
        <v>26579201</v>
      </c>
      <c r="K198" s="103" t="e">
        <f>J198/J$141*100</f>
        <v>#REF!</v>
      </c>
    </row>
    <row r="199" spans="1:11" x14ac:dyDescent="0.2">
      <c r="A199" s="82"/>
      <c r="B199" s="94"/>
      <c r="C199" s="95"/>
      <c r="D199" s="145"/>
      <c r="E199" s="34"/>
      <c r="F199" s="34"/>
      <c r="G199" s="34"/>
      <c r="H199" s="34"/>
      <c r="I199" s="34"/>
      <c r="J199" s="34"/>
      <c r="K199" s="105"/>
    </row>
    <row r="200" spans="1:11" x14ac:dyDescent="0.2">
      <c r="A200" s="99">
        <v>409</v>
      </c>
      <c r="B200" s="100"/>
      <c r="C200" s="101" t="s">
        <v>979</v>
      </c>
      <c r="D200" s="149"/>
      <c r="E200" s="31">
        <f>+E201+E202+E203+E204</f>
        <v>7127778</v>
      </c>
      <c r="F200" s="31">
        <f>+F201+F202+F203+F204</f>
        <v>1340749.6855200001</v>
      </c>
      <c r="G200" s="31">
        <f>+G201+G202+G203+G204</f>
        <v>0</v>
      </c>
      <c r="H200" s="31">
        <f>+H201+H202+H203+H204</f>
        <v>0</v>
      </c>
      <c r="I200" s="31">
        <f>+I201+I202+I203+I204</f>
        <v>0</v>
      </c>
      <c r="J200" s="31">
        <f>E200+F200+G200+H200-I200</f>
        <v>8468527.6855200008</v>
      </c>
      <c r="K200" s="103" t="e">
        <f>J200/J$141*100</f>
        <v>#REF!</v>
      </c>
    </row>
    <row r="201" spans="1:11" x14ac:dyDescent="0.2">
      <c r="A201" s="99">
        <v>4090</v>
      </c>
      <c r="B201" s="100"/>
      <c r="C201" s="101" t="s">
        <v>981</v>
      </c>
      <c r="D201" s="149"/>
      <c r="E201" s="31">
        <v>4027778</v>
      </c>
      <c r="F201" s="31"/>
      <c r="G201" s="31">
        <v>0</v>
      </c>
      <c r="H201" s="31">
        <v>0</v>
      </c>
      <c r="I201" s="31"/>
      <c r="J201" s="31">
        <f>E201+F201+G201+H201-I201</f>
        <v>4027778</v>
      </c>
      <c r="K201" s="103" t="e">
        <f>J201/J$141*100</f>
        <v>#REF!</v>
      </c>
    </row>
    <row r="202" spans="1:11" x14ac:dyDescent="0.2">
      <c r="A202" s="99">
        <v>4091</v>
      </c>
      <c r="B202" s="100"/>
      <c r="C202" s="101" t="s">
        <v>983</v>
      </c>
      <c r="D202" s="149"/>
      <c r="E202" s="31">
        <v>3100000</v>
      </c>
      <c r="F202" s="31">
        <v>1340749.6855200001</v>
      </c>
      <c r="G202" s="31">
        <v>0</v>
      </c>
      <c r="H202" s="31">
        <v>0</v>
      </c>
      <c r="I202" s="31"/>
      <c r="J202" s="31">
        <f>E202+F202+G202+H202-I202</f>
        <v>4440749.6855199998</v>
      </c>
      <c r="K202" s="103" t="e">
        <f>J202/J$141*100</f>
        <v>#REF!</v>
      </c>
    </row>
    <row r="203" spans="1:11" x14ac:dyDescent="0.2">
      <c r="A203" s="99">
        <v>4092</v>
      </c>
      <c r="B203" s="100"/>
      <c r="C203" s="101" t="s">
        <v>985</v>
      </c>
      <c r="D203" s="149"/>
      <c r="E203" s="31">
        <v>0</v>
      </c>
      <c r="F203" s="31"/>
      <c r="G203" s="31">
        <v>0</v>
      </c>
      <c r="H203" s="31">
        <v>0</v>
      </c>
      <c r="I203" s="31"/>
      <c r="J203" s="31">
        <f>E203+F203+G203+H203-I203</f>
        <v>0</v>
      </c>
      <c r="K203" s="103"/>
    </row>
    <row r="204" spans="1:11" x14ac:dyDescent="0.2">
      <c r="A204" s="99">
        <v>4093</v>
      </c>
      <c r="B204" s="100"/>
      <c r="C204" s="101" t="s">
        <v>875</v>
      </c>
      <c r="D204" s="149"/>
      <c r="E204" s="31"/>
      <c r="F204" s="31"/>
      <c r="G204" s="31"/>
      <c r="H204" s="31"/>
      <c r="I204" s="31"/>
      <c r="J204" s="31">
        <f>E204+F204+G204+H204-I204</f>
        <v>0</v>
      </c>
      <c r="K204" s="103"/>
    </row>
    <row r="205" spans="1:11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05"/>
    </row>
    <row r="206" spans="1:11" ht="15.75" x14ac:dyDescent="0.25">
      <c r="A206" s="88">
        <v>41</v>
      </c>
      <c r="B206" s="89"/>
      <c r="C206" s="90" t="s">
        <v>987</v>
      </c>
      <c r="D206" s="146"/>
      <c r="E206" s="32">
        <f>E209+E214+E225+E229+E242</f>
        <v>555161017</v>
      </c>
      <c r="F206" s="32">
        <f>F209+F214+F225+F229+F242</f>
        <v>64558233.71045199</v>
      </c>
      <c r="G206" s="32">
        <f>G209+G214+G225+G229+G242</f>
        <v>765066394.39865685</v>
      </c>
      <c r="H206" s="32">
        <f>H209+H214+H225+H229+H242</f>
        <v>44890377</v>
      </c>
      <c r="I206" s="32">
        <f>I209+I214+I225+I229+I242</f>
        <v>337004137.03451401</v>
      </c>
      <c r="J206" s="32">
        <f>E206+F206+G206+H206-I206</f>
        <v>1092671885.074595</v>
      </c>
      <c r="K206" s="92" t="e">
        <f>J206/J$141*100</f>
        <v>#REF!</v>
      </c>
    </row>
    <row r="207" spans="1:11" x14ac:dyDescent="0.2">
      <c r="A207" s="147"/>
      <c r="B207" s="148"/>
      <c r="C207" s="96" t="s">
        <v>989</v>
      </c>
      <c r="D207" s="145"/>
      <c r="E207" s="34"/>
      <c r="F207" s="34"/>
      <c r="G207" s="34"/>
      <c r="H207" s="34"/>
      <c r="I207" s="34"/>
      <c r="J207" s="34"/>
      <c r="K207" s="105"/>
    </row>
    <row r="208" spans="1:11" x14ac:dyDescent="0.2">
      <c r="A208" s="82"/>
      <c r="B208" s="94"/>
      <c r="C208" s="95"/>
      <c r="D208" s="145"/>
      <c r="E208" s="34"/>
      <c r="F208" s="34"/>
      <c r="G208" s="34"/>
      <c r="H208" s="34"/>
      <c r="I208" s="34"/>
      <c r="J208" s="34"/>
      <c r="K208" s="105"/>
    </row>
    <row r="209" spans="1:11" x14ac:dyDescent="0.2">
      <c r="A209" s="99">
        <v>410</v>
      </c>
      <c r="B209" s="100"/>
      <c r="C209" s="101" t="s">
        <v>990</v>
      </c>
      <c r="D209" s="149"/>
      <c r="E209" s="31">
        <f>E210+E211+E212</f>
        <v>69175173</v>
      </c>
      <c r="F209" s="31">
        <f>F210+F211+F212</f>
        <v>7265125.2847749991</v>
      </c>
      <c r="G209" s="31">
        <f>G210+G211+G212</f>
        <v>0</v>
      </c>
      <c r="H209" s="31">
        <f>H210+H211+H212</f>
        <v>0</v>
      </c>
      <c r="I209" s="31">
        <f>I210+I211+I212</f>
        <v>0</v>
      </c>
      <c r="J209" s="31">
        <f>E209+F209+G209+H209-I209</f>
        <v>76440298.284775004</v>
      </c>
      <c r="K209" s="103" t="e">
        <f>J209/J$141*100</f>
        <v>#REF!</v>
      </c>
    </row>
    <row r="210" spans="1:11" x14ac:dyDescent="0.2">
      <c r="A210" s="99">
        <v>4100</v>
      </c>
      <c r="B210" s="100"/>
      <c r="C210" s="101" t="s">
        <v>992</v>
      </c>
      <c r="D210" s="149"/>
      <c r="E210" s="31">
        <v>13694137</v>
      </c>
      <c r="F210" s="31">
        <v>1647975.7826549998</v>
      </c>
      <c r="G210" s="31">
        <v>0</v>
      </c>
      <c r="H210" s="31">
        <v>0</v>
      </c>
      <c r="I210" s="31"/>
      <c r="J210" s="31">
        <f>E210+F210+G210+H210</f>
        <v>15342112.782655001</v>
      </c>
      <c r="K210" s="103" t="e">
        <f>J210/J$141*100</f>
        <v>#REF!</v>
      </c>
    </row>
    <row r="211" spans="1:11" x14ac:dyDescent="0.2">
      <c r="A211" s="99">
        <v>4101</v>
      </c>
      <c r="B211" s="100"/>
      <c r="C211" s="101" t="s">
        <v>994</v>
      </c>
      <c r="D211" s="149"/>
      <c r="E211" s="31">
        <v>0</v>
      </c>
      <c r="F211" s="31">
        <v>0</v>
      </c>
      <c r="G211" s="31">
        <v>0</v>
      </c>
      <c r="H211" s="31">
        <v>0</v>
      </c>
      <c r="I211" s="31"/>
      <c r="J211" s="31">
        <f>E211+F211+G211+H211</f>
        <v>0</v>
      </c>
      <c r="K211" s="103" t="e">
        <f>J211/J$141*100</f>
        <v>#REF!</v>
      </c>
    </row>
    <row r="212" spans="1:11" x14ac:dyDescent="0.2">
      <c r="A212" s="99">
        <v>4102</v>
      </c>
      <c r="B212" s="100"/>
      <c r="C212" s="101" t="s">
        <v>996</v>
      </c>
      <c r="D212" s="149"/>
      <c r="E212" s="31">
        <v>55481036</v>
      </c>
      <c r="F212" s="31">
        <v>5617149.5021199994</v>
      </c>
      <c r="G212" s="31">
        <v>0</v>
      </c>
      <c r="H212" s="31">
        <v>0</v>
      </c>
      <c r="I212" s="31"/>
      <c r="J212" s="31">
        <f>E212+F212+G212+H212</f>
        <v>61098185.502120003</v>
      </c>
      <c r="K212" s="103" t="e">
        <f>J212/J$141*100</f>
        <v>#REF!</v>
      </c>
    </row>
    <row r="213" spans="1:11" x14ac:dyDescent="0.2">
      <c r="A213" s="82"/>
      <c r="B213" s="94"/>
      <c r="C213" s="95"/>
      <c r="D213" s="145"/>
      <c r="E213" s="34"/>
      <c r="F213" s="34"/>
      <c r="G213" s="34"/>
      <c r="H213" s="34"/>
      <c r="I213" s="34"/>
      <c r="J213" s="34"/>
      <c r="K213" s="105"/>
    </row>
    <row r="214" spans="1:11" x14ac:dyDescent="0.2">
      <c r="A214" s="99">
        <v>411</v>
      </c>
      <c r="B214" s="100"/>
      <c r="C214" s="101" t="s">
        <v>998</v>
      </c>
      <c r="D214" s="149"/>
      <c r="E214" s="31">
        <f>SUM(E215:E223)</f>
        <v>202306483</v>
      </c>
      <c r="F214" s="31">
        <f>SUM(F215:F223)</f>
        <v>34313609.685331993</v>
      </c>
      <c r="G214" s="31">
        <f>SUM(G215:G223)</f>
        <v>704735284.33601189</v>
      </c>
      <c r="H214" s="31">
        <f>SUM(H215:H223)</f>
        <v>41346568</v>
      </c>
      <c r="I214" s="31">
        <f>SUM(I215:I223)</f>
        <v>3535758.026784</v>
      </c>
      <c r="J214" s="31">
        <f>E214+F214+G214+H214-I214</f>
        <v>979166186.99456</v>
      </c>
      <c r="K214" s="103" t="e">
        <f t="shared" ref="K214:K223" si="18">J214/J$141*100</f>
        <v>#REF!</v>
      </c>
    </row>
    <row r="215" spans="1:11" x14ac:dyDescent="0.2">
      <c r="A215" s="99">
        <v>4110</v>
      </c>
      <c r="B215" s="100"/>
      <c r="C215" s="101" t="s">
        <v>1000</v>
      </c>
      <c r="D215" s="149"/>
      <c r="E215" s="31">
        <v>23471094</v>
      </c>
      <c r="F215" s="31">
        <v>125378.135532</v>
      </c>
      <c r="G215" s="31">
        <v>0</v>
      </c>
      <c r="H215" s="31">
        <v>0</v>
      </c>
      <c r="I215" s="429">
        <v>3535758.026784</v>
      </c>
      <c r="J215" s="109">
        <f>E215+F215+G215+H215-I215</f>
        <v>20060714.108748</v>
      </c>
      <c r="K215" s="103" t="e">
        <f t="shared" si="18"/>
        <v>#REF!</v>
      </c>
    </row>
    <row r="216" spans="1:11" x14ac:dyDescent="0.2">
      <c r="A216" s="99">
        <v>4111</v>
      </c>
      <c r="B216" s="100"/>
      <c r="C216" s="101" t="s">
        <v>1002</v>
      </c>
      <c r="D216" s="149"/>
      <c r="E216" s="31">
        <v>98468581</v>
      </c>
      <c r="F216" s="31">
        <v>168374.75199999998</v>
      </c>
      <c r="G216" s="31">
        <v>0</v>
      </c>
      <c r="H216" s="31">
        <v>0</v>
      </c>
      <c r="I216" s="31"/>
      <c r="J216" s="109">
        <f>E216+F216+G216+H216-I216</f>
        <v>98636955.752000004</v>
      </c>
      <c r="K216" s="103" t="e">
        <f t="shared" si="18"/>
        <v>#REF!</v>
      </c>
    </row>
    <row r="217" spans="1:11" x14ac:dyDescent="0.2">
      <c r="A217" s="99">
        <v>4112</v>
      </c>
      <c r="B217" s="100"/>
      <c r="C217" s="101" t="s">
        <v>1004</v>
      </c>
      <c r="D217" s="149"/>
      <c r="E217" s="31">
        <v>29490200</v>
      </c>
      <c r="F217" s="31">
        <v>551292.06000000006</v>
      </c>
      <c r="G217" s="31">
        <v>35169366.608675003</v>
      </c>
      <c r="H217" s="31">
        <v>0</v>
      </c>
      <c r="I217" s="31"/>
      <c r="J217" s="31">
        <f>E217+F217+G217+H217</f>
        <v>65210858.668675005</v>
      </c>
      <c r="K217" s="103" t="e">
        <f t="shared" si="18"/>
        <v>#REF!</v>
      </c>
    </row>
    <row r="218" spans="1:11" x14ac:dyDescent="0.2">
      <c r="A218" s="99">
        <v>4113</v>
      </c>
      <c r="B218" s="100"/>
      <c r="C218" s="101" t="s">
        <v>1006</v>
      </c>
      <c r="D218" s="149"/>
      <c r="E218" s="31">
        <v>18585567</v>
      </c>
      <c r="F218" s="31">
        <v>4969.4259999999995</v>
      </c>
      <c r="G218" s="31">
        <v>0</v>
      </c>
      <c r="H218" s="31">
        <v>0</v>
      </c>
      <c r="I218" s="31"/>
      <c r="J218" s="31">
        <f>E218+F218+G218+H218</f>
        <v>18590536.425999999</v>
      </c>
      <c r="K218" s="103" t="e">
        <f t="shared" si="18"/>
        <v>#REF!</v>
      </c>
    </row>
    <row r="219" spans="1:11" x14ac:dyDescent="0.2">
      <c r="A219" s="99">
        <v>4114</v>
      </c>
      <c r="B219" s="100"/>
      <c r="C219" s="101" t="s">
        <v>1008</v>
      </c>
      <c r="D219" s="149"/>
      <c r="E219" s="31">
        <v>0</v>
      </c>
      <c r="F219" s="31">
        <v>0</v>
      </c>
      <c r="G219" s="31">
        <v>635071618.13529384</v>
      </c>
      <c r="H219" s="31">
        <v>0</v>
      </c>
      <c r="I219" s="31"/>
      <c r="J219" s="31">
        <f>E219+F219+G219+H219</f>
        <v>635071618.13529384</v>
      </c>
      <c r="K219" s="103" t="e">
        <f t="shared" si="18"/>
        <v>#REF!</v>
      </c>
    </row>
    <row r="220" spans="1:11" x14ac:dyDescent="0.2">
      <c r="A220" s="99">
        <v>4115</v>
      </c>
      <c r="B220" s="100"/>
      <c r="C220" s="101" t="s">
        <v>1010</v>
      </c>
      <c r="D220" s="149"/>
      <c r="E220" s="31">
        <v>0</v>
      </c>
      <c r="F220" s="31">
        <v>0</v>
      </c>
      <c r="G220" s="31">
        <v>34472231.410043001</v>
      </c>
      <c r="H220" s="31">
        <v>0</v>
      </c>
      <c r="I220" s="31"/>
      <c r="J220" s="31">
        <f>E220+F220+G220+H220</f>
        <v>34472231.410043001</v>
      </c>
      <c r="K220" s="103" t="e">
        <f t="shared" si="18"/>
        <v>#REF!</v>
      </c>
    </row>
    <row r="221" spans="1:11" x14ac:dyDescent="0.2">
      <c r="A221" s="99">
        <v>4116</v>
      </c>
      <c r="B221" s="100"/>
      <c r="C221" s="101" t="s">
        <v>1012</v>
      </c>
      <c r="D221" s="149"/>
      <c r="E221" s="31">
        <v>0</v>
      </c>
      <c r="F221" s="31">
        <v>0</v>
      </c>
      <c r="G221" s="31">
        <v>0</v>
      </c>
      <c r="H221" s="31">
        <v>38817159</v>
      </c>
      <c r="I221" s="31"/>
      <c r="J221" s="109">
        <f>E221+F221+G221+H221-I221</f>
        <v>38817159</v>
      </c>
      <c r="K221" s="103" t="e">
        <f t="shared" si="18"/>
        <v>#REF!</v>
      </c>
    </row>
    <row r="222" spans="1:11" x14ac:dyDescent="0.2">
      <c r="A222" s="99">
        <v>4117</v>
      </c>
      <c r="B222" s="100"/>
      <c r="C222" s="101" t="s">
        <v>1014</v>
      </c>
      <c r="D222" s="149"/>
      <c r="E222" s="31">
        <v>20976334</v>
      </c>
      <c r="F222" s="31">
        <v>187014.32295999996</v>
      </c>
      <c r="G222" s="31">
        <v>5166</v>
      </c>
      <c r="H222" s="31">
        <v>0</v>
      </c>
      <c r="I222" s="31"/>
      <c r="J222" s="31">
        <f>E222+F222+G222+H222</f>
        <v>21168514.32296</v>
      </c>
      <c r="K222" s="103" t="e">
        <f t="shared" si="18"/>
        <v>#REF!</v>
      </c>
    </row>
    <row r="223" spans="1:11" x14ac:dyDescent="0.2">
      <c r="A223" s="99">
        <v>4119</v>
      </c>
      <c r="B223" s="100"/>
      <c r="C223" s="101" t="s">
        <v>1016</v>
      </c>
      <c r="D223" s="149"/>
      <c r="E223" s="31">
        <v>11314707</v>
      </c>
      <c r="F223" s="31">
        <v>33276580.988839995</v>
      </c>
      <c r="G223" s="31">
        <v>16902.182000000001</v>
      </c>
      <c r="H223" s="31">
        <v>2529409</v>
      </c>
      <c r="I223" s="31"/>
      <c r="J223" s="31">
        <f>E223+F223+G223+H223-I223</f>
        <v>47137599.170839995</v>
      </c>
      <c r="K223" s="103" t="e">
        <f t="shared" si="18"/>
        <v>#REF!</v>
      </c>
    </row>
    <row r="224" spans="1:11" x14ac:dyDescent="0.2">
      <c r="A224" s="82"/>
      <c r="B224" s="94"/>
      <c r="C224" s="95"/>
      <c r="D224" s="145"/>
      <c r="E224" s="34"/>
      <c r="F224" s="34"/>
      <c r="G224" s="34"/>
      <c r="H224" s="34"/>
      <c r="I224" s="34"/>
      <c r="J224" s="34"/>
      <c r="K224" s="105"/>
    </row>
    <row r="225" spans="1:11" x14ac:dyDescent="0.2">
      <c r="A225" s="99">
        <v>412</v>
      </c>
      <c r="B225" s="100"/>
      <c r="C225" s="101" t="s">
        <v>0</v>
      </c>
      <c r="D225" s="149"/>
      <c r="E225" s="31">
        <f>E227</f>
        <v>9743831</v>
      </c>
      <c r="F225" s="31">
        <f>F227</f>
        <v>11719246.258574998</v>
      </c>
      <c r="G225" s="31">
        <f>G227</f>
        <v>785776</v>
      </c>
      <c r="H225" s="31">
        <f>H227</f>
        <v>1089009</v>
      </c>
      <c r="I225" s="31">
        <f>I227</f>
        <v>0</v>
      </c>
      <c r="J225" s="31">
        <f>E225+F225+G225+H225-I225</f>
        <v>23337862.258575</v>
      </c>
      <c r="K225" s="103" t="e">
        <f>J225/J$141*100</f>
        <v>#REF!</v>
      </c>
    </row>
    <row r="226" spans="1:11" x14ac:dyDescent="0.2">
      <c r="A226" s="147"/>
      <c r="B226" s="148"/>
      <c r="C226" s="96" t="s">
        <v>2</v>
      </c>
      <c r="D226" s="145"/>
      <c r="E226" s="34"/>
      <c r="F226" s="34"/>
      <c r="G226" s="34"/>
      <c r="H226" s="34"/>
      <c r="I226" s="34"/>
      <c r="J226" s="34"/>
      <c r="K226" s="105"/>
    </row>
    <row r="227" spans="1:11" x14ac:dyDescent="0.2">
      <c r="A227" s="99">
        <v>4120</v>
      </c>
      <c r="B227" s="100"/>
      <c r="C227" s="101" t="s">
        <v>4</v>
      </c>
      <c r="D227" s="149"/>
      <c r="E227" s="31">
        <v>9743831</v>
      </c>
      <c r="F227" s="31">
        <v>11719246.258574998</v>
      </c>
      <c r="G227" s="31">
        <v>785776</v>
      </c>
      <c r="H227" s="31">
        <v>1089009</v>
      </c>
      <c r="I227" s="31">
        <v>0</v>
      </c>
      <c r="J227" s="31">
        <f>E227+F227+G227+H227</f>
        <v>23337862.258575</v>
      </c>
      <c r="K227" s="103" t="e">
        <f>J227/J$141*100</f>
        <v>#REF!</v>
      </c>
    </row>
    <row r="228" spans="1:11" x14ac:dyDescent="0.2">
      <c r="A228" s="82"/>
      <c r="B228" s="94"/>
      <c r="C228" s="95"/>
      <c r="D228" s="145"/>
      <c r="E228" s="34"/>
      <c r="F228" s="34"/>
      <c r="G228" s="34"/>
      <c r="H228" s="34"/>
      <c r="I228" s="34"/>
      <c r="J228" s="34"/>
      <c r="K228" s="105"/>
    </row>
    <row r="229" spans="1:11" x14ac:dyDescent="0.2">
      <c r="A229" s="99">
        <v>413</v>
      </c>
      <c r="B229" s="100"/>
      <c r="C229" s="101" t="s">
        <v>6</v>
      </c>
      <c r="D229" s="149"/>
      <c r="E229" s="31">
        <f>+E231+E233+E235+E239</f>
        <v>270973759</v>
      </c>
      <c r="F229" s="31">
        <f>+F231+F233+F235</f>
        <v>11260252.481769999</v>
      </c>
      <c r="G229" s="31">
        <f>+G231+G233+G235</f>
        <v>59545334.062644988</v>
      </c>
      <c r="H229" s="31">
        <f>+H231+H233+H235+H239</f>
        <v>653880</v>
      </c>
      <c r="I229" s="31">
        <f>+I231+I233+I235+I239</f>
        <v>333468379.00773001</v>
      </c>
      <c r="J229" s="31">
        <f>E229+F229+G229+H229-I229</f>
        <v>8964846.5366849899</v>
      </c>
      <c r="K229" s="103" t="e">
        <f>J229/J$141*100</f>
        <v>#REF!</v>
      </c>
    </row>
    <row r="230" spans="1:11" x14ac:dyDescent="0.2">
      <c r="A230" s="82"/>
      <c r="B230" s="94"/>
      <c r="C230" s="95"/>
      <c r="D230" s="145"/>
      <c r="E230" s="34"/>
      <c r="F230" s="34"/>
      <c r="G230" s="34"/>
      <c r="H230" s="34"/>
      <c r="I230" s="34"/>
      <c r="J230" s="34"/>
      <c r="K230" s="105"/>
    </row>
    <row r="231" spans="1:11" x14ac:dyDescent="0.2">
      <c r="A231" s="106">
        <v>4130</v>
      </c>
      <c r="B231" s="107"/>
      <c r="C231" s="108" t="s">
        <v>8</v>
      </c>
      <c r="D231" s="153"/>
      <c r="E231" s="109">
        <v>38463679</v>
      </c>
      <c r="F231" s="109">
        <v>5453717.8985699993</v>
      </c>
      <c r="G231" s="109">
        <v>0</v>
      </c>
      <c r="H231" s="109">
        <v>0</v>
      </c>
      <c r="I231" s="429">
        <v>44346219.985030003</v>
      </c>
      <c r="J231" s="109">
        <f>E231+F231+G231+H231-I231</f>
        <v>-428823.08646000177</v>
      </c>
      <c r="K231" s="103"/>
    </row>
    <row r="232" spans="1:11" x14ac:dyDescent="0.2">
      <c r="A232" s="114"/>
      <c r="B232" s="115"/>
      <c r="C232" s="154"/>
      <c r="D232" s="157"/>
      <c r="E232" s="113"/>
      <c r="F232" s="113"/>
      <c r="G232" s="113"/>
      <c r="H232" s="113"/>
      <c r="I232" s="113"/>
      <c r="J232" s="113"/>
      <c r="K232" s="110"/>
    </row>
    <row r="233" spans="1:11" x14ac:dyDescent="0.2">
      <c r="A233" s="106">
        <v>4131</v>
      </c>
      <c r="B233" s="107"/>
      <c r="C233" s="108" t="s">
        <v>10</v>
      </c>
      <c r="D233" s="153"/>
      <c r="E233" s="109">
        <v>228257742</v>
      </c>
      <c r="F233" s="109">
        <v>2926560</v>
      </c>
      <c r="G233" s="109">
        <v>59545334.062644988</v>
      </c>
      <c r="H233" s="109">
        <v>647761</v>
      </c>
      <c r="I233" s="429">
        <v>289017459.02270001</v>
      </c>
      <c r="J233" s="109">
        <f>E233+F233+G233+H233-I233</f>
        <v>2359938.0399449468</v>
      </c>
      <c r="K233" s="104"/>
    </row>
    <row r="234" spans="1:11" x14ac:dyDescent="0.2">
      <c r="A234" s="114"/>
      <c r="B234" s="115"/>
      <c r="C234" s="154"/>
      <c r="D234" s="157"/>
      <c r="E234" s="113"/>
      <c r="F234" s="113"/>
      <c r="G234" s="113"/>
      <c r="H234" s="113"/>
      <c r="I234" s="113"/>
      <c r="J234" s="113"/>
      <c r="K234" s="87"/>
    </row>
    <row r="235" spans="1:11" x14ac:dyDescent="0.2">
      <c r="A235" s="106">
        <v>4132</v>
      </c>
      <c r="B235" s="107"/>
      <c r="C235" s="108" t="s">
        <v>15</v>
      </c>
      <c r="D235" s="153"/>
      <c r="E235" s="109">
        <v>4153932</v>
      </c>
      <c r="F235" s="109">
        <v>2879974.5832000002</v>
      </c>
      <c r="G235" s="109">
        <v>0</v>
      </c>
      <c r="H235" s="109">
        <v>0</v>
      </c>
      <c r="I235" s="429">
        <v>0</v>
      </c>
      <c r="J235" s="109">
        <f>E235+F235+G235+H235-I235</f>
        <v>7033906.5832000002</v>
      </c>
      <c r="K235" s="103"/>
    </row>
    <row r="236" spans="1:11" x14ac:dyDescent="0.2">
      <c r="A236" s="114"/>
      <c r="B236" s="115"/>
      <c r="C236" s="154"/>
      <c r="D236" s="157"/>
      <c r="E236" s="113"/>
      <c r="F236" s="113"/>
      <c r="G236" s="113"/>
      <c r="H236" s="113"/>
      <c r="I236" s="113"/>
      <c r="J236" s="113"/>
      <c r="K236" s="87"/>
    </row>
    <row r="237" spans="1:11" x14ac:dyDescent="0.2">
      <c r="A237" s="82"/>
      <c r="B237" s="94"/>
      <c r="C237" s="95"/>
      <c r="D237" s="145"/>
      <c r="E237" s="34"/>
      <c r="F237" s="34"/>
      <c r="G237" s="34"/>
      <c r="H237" s="34"/>
      <c r="I237" s="86"/>
      <c r="J237" s="86"/>
      <c r="K237" s="110"/>
    </row>
    <row r="238" spans="1:11" x14ac:dyDescent="0.2">
      <c r="A238" s="82"/>
      <c r="B238" s="94"/>
      <c r="C238" s="95"/>
      <c r="D238" s="159"/>
      <c r="E238" s="34"/>
      <c r="F238" s="34"/>
      <c r="G238" s="34"/>
      <c r="H238" s="34"/>
      <c r="I238" s="86"/>
      <c r="J238" s="86"/>
      <c r="K238" s="110"/>
    </row>
    <row r="239" spans="1:11" x14ac:dyDescent="0.2">
      <c r="A239" s="106">
        <v>4134</v>
      </c>
      <c r="B239" s="107"/>
      <c r="C239" s="108" t="s">
        <v>840</v>
      </c>
      <c r="D239" s="153"/>
      <c r="E239" s="109">
        <v>98406</v>
      </c>
      <c r="F239" s="109">
        <v>0</v>
      </c>
      <c r="G239" s="109">
        <v>0</v>
      </c>
      <c r="H239" s="109">
        <v>6119</v>
      </c>
      <c r="I239" s="428">
        <v>104700</v>
      </c>
      <c r="J239" s="109">
        <f>E239+F239+G239+H239-I239</f>
        <v>-175</v>
      </c>
      <c r="K239" s="103"/>
    </row>
    <row r="240" spans="1:11" x14ac:dyDescent="0.2">
      <c r="A240" s="82"/>
      <c r="B240" s="94"/>
      <c r="C240" s="95"/>
      <c r="D240" s="159"/>
      <c r="E240" s="34"/>
      <c r="F240" s="34"/>
      <c r="G240" s="34"/>
      <c r="H240" s="34"/>
      <c r="I240" s="34"/>
      <c r="J240" s="34"/>
      <c r="K240" s="150"/>
    </row>
    <row r="241" spans="1:11" x14ac:dyDescent="0.2">
      <c r="A241" s="82"/>
      <c r="B241" s="94"/>
      <c r="C241" s="95"/>
      <c r="D241" s="145"/>
      <c r="E241" s="34"/>
      <c r="F241" s="34"/>
      <c r="G241" s="34"/>
      <c r="H241" s="34"/>
      <c r="I241" s="34"/>
      <c r="J241" s="34"/>
      <c r="K241" s="105"/>
    </row>
    <row r="242" spans="1:11" x14ac:dyDescent="0.2">
      <c r="A242" s="99">
        <v>414</v>
      </c>
      <c r="B242" s="100"/>
      <c r="C242" s="101" t="s">
        <v>25</v>
      </c>
      <c r="D242" s="149"/>
      <c r="E242" s="31">
        <f>SUM(E243:E246)</f>
        <v>2961771</v>
      </c>
      <c r="F242" s="31">
        <v>0</v>
      </c>
      <c r="G242" s="31">
        <f>SUM(G243:G246)</f>
        <v>0</v>
      </c>
      <c r="H242" s="31">
        <f>SUM(H243:H246)</f>
        <v>1800920</v>
      </c>
      <c r="I242" s="31">
        <f>SUM(I243:I246)</f>
        <v>0</v>
      </c>
      <c r="J242" s="31">
        <f>E242+F242+G242+H242-I242</f>
        <v>4762691</v>
      </c>
      <c r="K242" s="103" t="e">
        <f>J242/J$141*100</f>
        <v>#REF!</v>
      </c>
    </row>
    <row r="243" spans="1:11" x14ac:dyDescent="0.2">
      <c r="A243" s="99">
        <v>4140</v>
      </c>
      <c r="B243" s="100"/>
      <c r="C243" s="101" t="s">
        <v>27</v>
      </c>
      <c r="D243" s="149"/>
      <c r="E243" s="31">
        <v>153058</v>
      </c>
      <c r="F243" s="31">
        <v>0</v>
      </c>
      <c r="G243" s="31">
        <v>0</v>
      </c>
      <c r="H243" s="31">
        <v>0</v>
      </c>
      <c r="I243" s="31"/>
      <c r="J243" s="31">
        <f>E243+F243+G243+H243-I243</f>
        <v>153058</v>
      </c>
      <c r="K243" s="103" t="e">
        <f>J243/J$141*100</f>
        <v>#REF!</v>
      </c>
    </row>
    <row r="244" spans="1:11" x14ac:dyDescent="0.2">
      <c r="A244" s="99">
        <v>4141</v>
      </c>
      <c r="B244" s="100"/>
      <c r="C244" s="101" t="s">
        <v>29</v>
      </c>
      <c r="D244" s="149"/>
      <c r="E244" s="31">
        <v>415606</v>
      </c>
      <c r="F244" s="31">
        <v>0</v>
      </c>
      <c r="G244" s="31">
        <v>0</v>
      </c>
      <c r="H244" s="31">
        <v>0</v>
      </c>
      <c r="I244" s="31"/>
      <c r="J244" s="31">
        <f>E244+F244+G244+H244-I244</f>
        <v>415606</v>
      </c>
      <c r="K244" s="103" t="e">
        <f>J244/J$141*100</f>
        <v>#REF!</v>
      </c>
    </row>
    <row r="245" spans="1:11" x14ac:dyDescent="0.2">
      <c r="A245" s="99">
        <v>4142</v>
      </c>
      <c r="B245" s="100"/>
      <c r="C245" s="101" t="s">
        <v>31</v>
      </c>
      <c r="D245" s="149"/>
      <c r="E245" s="31">
        <v>569008</v>
      </c>
      <c r="F245" s="31">
        <v>0</v>
      </c>
      <c r="G245" s="31">
        <v>0</v>
      </c>
      <c r="H245" s="31">
        <v>1800920</v>
      </c>
      <c r="I245" s="31"/>
      <c r="J245" s="31">
        <f>E245+F245+G245+H245-I245</f>
        <v>2369928</v>
      </c>
      <c r="K245" s="103" t="e">
        <f>J245/J$141*100</f>
        <v>#REF!</v>
      </c>
    </row>
    <row r="246" spans="1:11" x14ac:dyDescent="0.2">
      <c r="A246" s="99">
        <v>4143</v>
      </c>
      <c r="B246" s="100"/>
      <c r="C246" s="101" t="s">
        <v>33</v>
      </c>
      <c r="D246" s="149"/>
      <c r="E246" s="31">
        <v>1824099</v>
      </c>
      <c r="F246" s="31">
        <v>0</v>
      </c>
      <c r="G246" s="31">
        <v>0</v>
      </c>
      <c r="H246" s="31">
        <v>0</v>
      </c>
      <c r="I246" s="31"/>
      <c r="J246" s="31">
        <f>E246+F246+G246+H246-I246</f>
        <v>1824099</v>
      </c>
      <c r="K246" s="103" t="e">
        <f>J246/J$141*100</f>
        <v>#REF!</v>
      </c>
    </row>
    <row r="247" spans="1:11" x14ac:dyDescent="0.2">
      <c r="A247" s="82"/>
      <c r="B247" s="94"/>
      <c r="C247" s="95"/>
      <c r="D247" s="145"/>
      <c r="E247" s="34"/>
      <c r="F247" s="34"/>
      <c r="G247" s="34"/>
      <c r="H247" s="34"/>
      <c r="I247" s="34"/>
      <c r="J247" s="34"/>
      <c r="K247" s="105"/>
    </row>
    <row r="248" spans="1:11" ht="15.75" x14ac:dyDescent="0.25">
      <c r="A248" s="88">
        <v>42</v>
      </c>
      <c r="B248" s="89"/>
      <c r="C248" s="90" t="s">
        <v>35</v>
      </c>
      <c r="D248" s="146"/>
      <c r="E248" s="32">
        <f>E250</f>
        <v>81679538</v>
      </c>
      <c r="F248" s="32">
        <f>F250</f>
        <v>80081959.241274998</v>
      </c>
      <c r="G248" s="32">
        <f>G250</f>
        <v>741680</v>
      </c>
      <c r="H248" s="32">
        <f>H250</f>
        <v>1538000</v>
      </c>
      <c r="I248" s="32">
        <f>I250</f>
        <v>0</v>
      </c>
      <c r="J248" s="32">
        <f>E248+F248+G248+H248-I248</f>
        <v>164041177.24127501</v>
      </c>
      <c r="K248" s="92" t="e">
        <f>J248/J$141*100</f>
        <v>#REF!</v>
      </c>
    </row>
    <row r="249" spans="1:11" x14ac:dyDescent="0.2">
      <c r="A249" s="82"/>
      <c r="B249" s="94"/>
      <c r="C249" s="95"/>
      <c r="D249" s="145"/>
      <c r="E249" s="86"/>
      <c r="F249" s="86"/>
      <c r="G249" s="86"/>
      <c r="H249" s="86"/>
      <c r="I249" s="86"/>
      <c r="J249" s="86"/>
      <c r="K249" s="87"/>
    </row>
    <row r="250" spans="1:11" x14ac:dyDescent="0.2">
      <c r="A250" s="99">
        <v>420</v>
      </c>
      <c r="B250" s="100"/>
      <c r="C250" s="101" t="s">
        <v>37</v>
      </c>
      <c r="D250" s="149"/>
      <c r="E250" s="31">
        <f>SUM(E251:E260)</f>
        <v>81679538</v>
      </c>
      <c r="F250" s="31">
        <f>SUM(F251:F260)</f>
        <v>80081959.241274998</v>
      </c>
      <c r="G250" s="31">
        <f>SUM(G251:G260)</f>
        <v>741680</v>
      </c>
      <c r="H250" s="31">
        <f>SUM(H251:H260)</f>
        <v>1538000</v>
      </c>
      <c r="I250" s="31">
        <f>SUM(I251:I260)</f>
        <v>0</v>
      </c>
      <c r="J250" s="31">
        <f t="shared" ref="J250:J260" si="19">E250+F250+G250+H250-I250</f>
        <v>164041177.24127501</v>
      </c>
      <c r="K250" s="103" t="e">
        <f t="shared" ref="K250:K260" si="20">J250/J$141*100</f>
        <v>#REF!</v>
      </c>
    </row>
    <row r="251" spans="1:11" x14ac:dyDescent="0.2">
      <c r="A251" s="99">
        <v>4200</v>
      </c>
      <c r="B251" s="100"/>
      <c r="C251" s="101" t="s">
        <v>39</v>
      </c>
      <c r="D251" s="149"/>
      <c r="E251" s="31">
        <v>1598762</v>
      </c>
      <c r="F251" s="31">
        <v>3476405.3067449997</v>
      </c>
      <c r="G251" s="31"/>
      <c r="H251" s="31"/>
      <c r="I251" s="31"/>
      <c r="J251" s="31">
        <f t="shared" si="19"/>
        <v>5075167.3067450002</v>
      </c>
      <c r="K251" s="103" t="e">
        <f t="shared" si="20"/>
        <v>#REF!</v>
      </c>
    </row>
    <row r="252" spans="1:11" x14ac:dyDescent="0.2">
      <c r="A252" s="99">
        <v>4201</v>
      </c>
      <c r="B252" s="100"/>
      <c r="C252" s="101" t="s">
        <v>41</v>
      </c>
      <c r="D252" s="149"/>
      <c r="E252" s="31">
        <v>1565653</v>
      </c>
      <c r="F252" s="31">
        <v>462519.81293999997</v>
      </c>
      <c r="G252" s="31"/>
      <c r="H252" s="31"/>
      <c r="I252" s="31"/>
      <c r="J252" s="31">
        <f t="shared" si="19"/>
        <v>2028172.8129400001</v>
      </c>
      <c r="K252" s="103" t="e">
        <f t="shared" si="20"/>
        <v>#REF!</v>
      </c>
    </row>
    <row r="253" spans="1:11" x14ac:dyDescent="0.2">
      <c r="A253" s="99">
        <v>4202</v>
      </c>
      <c r="B253" s="100"/>
      <c r="C253" s="101" t="s">
        <v>43</v>
      </c>
      <c r="D253" s="149"/>
      <c r="E253" s="31">
        <v>17006066</v>
      </c>
      <c r="F253" s="31">
        <v>3480174.0403499999</v>
      </c>
      <c r="G253" s="31"/>
      <c r="H253" s="31"/>
      <c r="I253" s="31"/>
      <c r="J253" s="31">
        <f t="shared" si="19"/>
        <v>20486240.040350001</v>
      </c>
      <c r="K253" s="103" t="e">
        <f t="shared" si="20"/>
        <v>#REF!</v>
      </c>
    </row>
    <row r="254" spans="1:11" x14ac:dyDescent="0.2">
      <c r="A254" s="99">
        <v>4203</v>
      </c>
      <c r="B254" s="100"/>
      <c r="C254" s="101" t="s">
        <v>45</v>
      </c>
      <c r="D254" s="149"/>
      <c r="E254" s="31">
        <v>51077</v>
      </c>
      <c r="F254" s="31">
        <v>470030.38505999994</v>
      </c>
      <c r="G254" s="31">
        <v>741680</v>
      </c>
      <c r="H254" s="31">
        <v>1538000</v>
      </c>
      <c r="I254" s="31"/>
      <c r="J254" s="31">
        <f t="shared" si="19"/>
        <v>2800787.3850600002</v>
      </c>
      <c r="K254" s="103" t="e">
        <f t="shared" si="20"/>
        <v>#REF!</v>
      </c>
    </row>
    <row r="255" spans="1:11" x14ac:dyDescent="0.2">
      <c r="A255" s="99">
        <v>4204</v>
      </c>
      <c r="B255" s="100"/>
      <c r="C255" s="101" t="s">
        <v>47</v>
      </c>
      <c r="D255" s="149"/>
      <c r="E255" s="31">
        <v>40537853</v>
      </c>
      <c r="F255" s="31">
        <v>46906013.549199998</v>
      </c>
      <c r="G255" s="31"/>
      <c r="H255" s="31"/>
      <c r="I255" s="31"/>
      <c r="J255" s="31">
        <f t="shared" si="19"/>
        <v>87443866.549199998</v>
      </c>
      <c r="K255" s="103" t="e">
        <f t="shared" si="20"/>
        <v>#REF!</v>
      </c>
    </row>
    <row r="256" spans="1:11" x14ac:dyDescent="0.2">
      <c r="A256" s="99">
        <v>4205</v>
      </c>
      <c r="B256" s="100"/>
      <c r="C256" s="101" t="s">
        <v>49</v>
      </c>
      <c r="D256" s="149"/>
      <c r="E256" s="31">
        <v>11432104</v>
      </c>
      <c r="F256" s="31">
        <v>13567714.795029996</v>
      </c>
      <c r="G256" s="31"/>
      <c r="H256" s="31"/>
      <c r="I256" s="31"/>
      <c r="J256" s="31">
        <f t="shared" si="19"/>
        <v>24999818.795029998</v>
      </c>
      <c r="K256" s="103" t="e">
        <f t="shared" si="20"/>
        <v>#REF!</v>
      </c>
    </row>
    <row r="257" spans="1:11" x14ac:dyDescent="0.2">
      <c r="A257" s="99">
        <v>4206</v>
      </c>
      <c r="B257" s="100"/>
      <c r="C257" s="101" t="s">
        <v>51</v>
      </c>
      <c r="D257" s="149"/>
      <c r="E257" s="31">
        <v>2029331</v>
      </c>
      <c r="F257" s="31">
        <v>5416824.8662799997</v>
      </c>
      <c r="G257" s="31"/>
      <c r="H257" s="31"/>
      <c r="I257" s="31"/>
      <c r="J257" s="31">
        <f t="shared" si="19"/>
        <v>7446155.8662799997</v>
      </c>
      <c r="K257" s="103" t="e">
        <f t="shared" si="20"/>
        <v>#REF!</v>
      </c>
    </row>
    <row r="258" spans="1:11" x14ac:dyDescent="0.2">
      <c r="A258" s="99">
        <v>4207</v>
      </c>
      <c r="B258" s="100"/>
      <c r="C258" s="101" t="s">
        <v>53</v>
      </c>
      <c r="D258" s="149"/>
      <c r="E258" s="31">
        <v>276960</v>
      </c>
      <c r="F258" s="31">
        <v>28235.629989999998</v>
      </c>
      <c r="G258" s="31"/>
      <c r="H258" s="31"/>
      <c r="I258" s="31"/>
      <c r="J258" s="31">
        <f t="shared" si="19"/>
        <v>305195.62998999999</v>
      </c>
      <c r="K258" s="103" t="e">
        <f t="shared" si="20"/>
        <v>#REF!</v>
      </c>
    </row>
    <row r="259" spans="1:11" x14ac:dyDescent="0.2">
      <c r="A259" s="99">
        <v>4208</v>
      </c>
      <c r="B259" s="100"/>
      <c r="C259" s="101" t="s">
        <v>55</v>
      </c>
      <c r="D259" s="149"/>
      <c r="E259" s="31">
        <v>7144947</v>
      </c>
      <c r="F259" s="31">
        <v>6274040.8556799991</v>
      </c>
      <c r="G259" s="31"/>
      <c r="H259" s="31"/>
      <c r="I259" s="31"/>
      <c r="J259" s="31">
        <f t="shared" si="19"/>
        <v>13418987.85568</v>
      </c>
      <c r="K259" s="103" t="e">
        <f t="shared" si="20"/>
        <v>#REF!</v>
      </c>
    </row>
    <row r="260" spans="1:11" x14ac:dyDescent="0.2">
      <c r="A260" s="99">
        <v>4209</v>
      </c>
      <c r="B260" s="100"/>
      <c r="C260" s="101" t="s">
        <v>57</v>
      </c>
      <c r="D260" s="149"/>
      <c r="E260" s="31">
        <v>36785</v>
      </c>
      <c r="F260" s="31">
        <v>0</v>
      </c>
      <c r="G260" s="31"/>
      <c r="H260" s="31"/>
      <c r="I260" s="31"/>
      <c r="J260" s="31">
        <f t="shared" si="19"/>
        <v>36785</v>
      </c>
      <c r="K260" s="103" t="e">
        <f t="shared" si="20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ht="15.75" x14ac:dyDescent="0.25">
      <c r="A262" s="88">
        <v>43</v>
      </c>
      <c r="B262" s="89"/>
      <c r="C262" s="90" t="s">
        <v>59</v>
      </c>
      <c r="D262" s="146"/>
      <c r="E262" s="32">
        <f>E264</f>
        <v>74782745</v>
      </c>
      <c r="F262" s="32">
        <f>F264</f>
        <v>26824168.565059997</v>
      </c>
      <c r="G262" s="32">
        <f>G264</f>
        <v>0</v>
      </c>
      <c r="H262" s="32">
        <f>H264</f>
        <v>0</v>
      </c>
      <c r="I262" s="32">
        <f>I264</f>
        <v>16437253.03497</v>
      </c>
      <c r="J262" s="32">
        <f>E262+F262+G262+H262-I262</f>
        <v>85169660.530089989</v>
      </c>
      <c r="K262" s="92" t="e">
        <f>J262/J$141*100</f>
        <v>#REF!</v>
      </c>
    </row>
    <row r="263" spans="1:11" x14ac:dyDescent="0.2">
      <c r="A263" s="82"/>
      <c r="B263" s="94"/>
      <c r="C263" s="95"/>
      <c r="D263" s="145"/>
      <c r="E263" s="86"/>
      <c r="F263" s="86"/>
      <c r="G263" s="86"/>
      <c r="H263" s="86"/>
      <c r="I263" s="86"/>
      <c r="J263" s="86"/>
      <c r="K263" s="87"/>
    </row>
    <row r="264" spans="1:11" x14ac:dyDescent="0.2">
      <c r="A264" s="99">
        <v>430</v>
      </c>
      <c r="B264" s="100"/>
      <c r="C264" s="101" t="s">
        <v>61</v>
      </c>
      <c r="D264" s="149"/>
      <c r="E264" s="31">
        <f>SUM(E266:E274)</f>
        <v>74782745</v>
      </c>
      <c r="F264" s="31">
        <f>SUM(F266:F274)</f>
        <v>26824168.565059997</v>
      </c>
      <c r="G264" s="31">
        <v>0</v>
      </c>
      <c r="H264" s="31">
        <f>SUM(H266:H274)</f>
        <v>0</v>
      </c>
      <c r="I264" s="31">
        <f>SUM(I266:I274)</f>
        <v>16437253.03497</v>
      </c>
      <c r="J264" s="31">
        <f>E264+F264+G264+H264-I264</f>
        <v>85169660.530089989</v>
      </c>
      <c r="K264" s="103" t="e">
        <f>J264/J$141*100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106">
        <v>4300</v>
      </c>
      <c r="B266" s="107"/>
      <c r="C266" s="108" t="s">
        <v>62</v>
      </c>
      <c r="D266" s="153"/>
      <c r="E266" s="109">
        <v>16194960</v>
      </c>
      <c r="F266" s="109">
        <v>2054446.0020699999</v>
      </c>
      <c r="G266" s="109">
        <v>0</v>
      </c>
      <c r="H266" s="109">
        <v>0</v>
      </c>
      <c r="I266" s="429">
        <v>16437253.03497</v>
      </c>
      <c r="J266" s="109">
        <f>E266+F266+G266+H266-I266</f>
        <v>1812152.9670999981</v>
      </c>
      <c r="K266" s="103" t="e">
        <f>J266/J$141*100</f>
        <v>#REF!</v>
      </c>
    </row>
    <row r="267" spans="1:11" x14ac:dyDescent="0.2">
      <c r="A267" s="99">
        <v>4301</v>
      </c>
      <c r="B267" s="100"/>
      <c r="C267" s="101" t="s">
        <v>65</v>
      </c>
      <c r="D267" s="149"/>
      <c r="E267" s="31">
        <v>1617418</v>
      </c>
      <c r="F267" s="31">
        <v>3501976.9722899999</v>
      </c>
      <c r="G267" s="31">
        <v>0</v>
      </c>
      <c r="H267" s="31">
        <v>0</v>
      </c>
      <c r="I267" s="31"/>
      <c r="J267" s="31">
        <f t="shared" ref="J267:J274" si="21">E267+F267+G267+H267</f>
        <v>5119394.9722899999</v>
      </c>
      <c r="K267" s="103" t="e">
        <f t="shared" ref="K267:K274" si="22">J267/J$141*100</f>
        <v>#REF!</v>
      </c>
    </row>
    <row r="268" spans="1:11" x14ac:dyDescent="0.2">
      <c r="A268" s="99">
        <v>4302</v>
      </c>
      <c r="B268" s="100"/>
      <c r="C268" s="101" t="s">
        <v>67</v>
      </c>
      <c r="D268" s="149"/>
      <c r="E268" s="31">
        <v>2852964</v>
      </c>
      <c r="F268" s="31">
        <v>1765528.4878399998</v>
      </c>
      <c r="G268" s="31">
        <v>0</v>
      </c>
      <c r="H268" s="31">
        <v>0</v>
      </c>
      <c r="I268" s="31"/>
      <c r="J268" s="31">
        <f t="shared" si="21"/>
        <v>4618492.4878399996</v>
      </c>
      <c r="K268" s="103" t="e">
        <f t="shared" si="22"/>
        <v>#REF!</v>
      </c>
    </row>
    <row r="269" spans="1:11" x14ac:dyDescent="0.2">
      <c r="A269" s="99">
        <v>4303</v>
      </c>
      <c r="B269" s="100"/>
      <c r="C269" s="101" t="s">
        <v>69</v>
      </c>
      <c r="D269" s="149"/>
      <c r="E269" s="31">
        <v>37397157</v>
      </c>
      <c r="F269" s="31">
        <v>8130286.5451499997</v>
      </c>
      <c r="G269" s="31">
        <v>0</v>
      </c>
      <c r="H269" s="31">
        <v>0</v>
      </c>
      <c r="I269" s="31"/>
      <c r="J269" s="31">
        <f t="shared" si="21"/>
        <v>45527443.545149997</v>
      </c>
      <c r="K269" s="103" t="e">
        <f t="shared" si="22"/>
        <v>#REF!</v>
      </c>
    </row>
    <row r="270" spans="1:11" x14ac:dyDescent="0.2">
      <c r="A270" s="99">
        <v>4304</v>
      </c>
      <c r="B270" s="100"/>
      <c r="C270" s="101" t="s">
        <v>71</v>
      </c>
      <c r="D270" s="149"/>
      <c r="E270" s="31">
        <v>0</v>
      </c>
      <c r="F270" s="31">
        <v>18881.488260000002</v>
      </c>
      <c r="G270" s="31">
        <v>0</v>
      </c>
      <c r="H270" s="31">
        <v>0</v>
      </c>
      <c r="I270" s="31"/>
      <c r="J270" s="31">
        <f t="shared" si="21"/>
        <v>18881.488260000002</v>
      </c>
      <c r="K270" s="103" t="e">
        <f t="shared" si="22"/>
        <v>#REF!</v>
      </c>
    </row>
    <row r="271" spans="1:11" x14ac:dyDescent="0.2">
      <c r="A271" s="99">
        <v>4305</v>
      </c>
      <c r="B271" s="100"/>
      <c r="C271" s="101" t="s">
        <v>73</v>
      </c>
      <c r="D271" s="149"/>
      <c r="E271" s="31">
        <v>6938649</v>
      </c>
      <c r="F271" s="31">
        <v>987393.63764999993</v>
      </c>
      <c r="G271" s="31">
        <v>0</v>
      </c>
      <c r="H271" s="31">
        <v>0</v>
      </c>
      <c r="I271" s="31"/>
      <c r="J271" s="31">
        <f t="shared" si="21"/>
        <v>7926042.6376499999</v>
      </c>
      <c r="K271" s="103" t="e">
        <f t="shared" si="22"/>
        <v>#REF!</v>
      </c>
    </row>
    <row r="272" spans="1:11" x14ac:dyDescent="0.2">
      <c r="A272" s="99">
        <v>4306</v>
      </c>
      <c r="B272" s="100"/>
      <c r="C272" s="101" t="s">
        <v>75</v>
      </c>
      <c r="D272" s="149"/>
      <c r="E272" s="31">
        <v>4048350</v>
      </c>
      <c r="F272" s="31">
        <v>190715.51100000003</v>
      </c>
      <c r="G272" s="31">
        <v>0</v>
      </c>
      <c r="H272" s="31">
        <v>0</v>
      </c>
      <c r="I272" s="31"/>
      <c r="J272" s="31">
        <f t="shared" si="21"/>
        <v>4239065.5109999999</v>
      </c>
      <c r="K272" s="103" t="e">
        <f t="shared" si="22"/>
        <v>#REF!</v>
      </c>
    </row>
    <row r="273" spans="1:11" x14ac:dyDescent="0.2">
      <c r="A273" s="99">
        <v>4307</v>
      </c>
      <c r="B273" s="100"/>
      <c r="C273" s="101" t="s">
        <v>77</v>
      </c>
      <c r="D273" s="149"/>
      <c r="E273" s="31">
        <v>5685553</v>
      </c>
      <c r="F273" s="31">
        <v>10174939.9208</v>
      </c>
      <c r="G273" s="31">
        <v>0</v>
      </c>
      <c r="H273" s="31">
        <v>0</v>
      </c>
      <c r="I273" s="31"/>
      <c r="J273" s="31">
        <f t="shared" si="21"/>
        <v>15860492.9208</v>
      </c>
      <c r="K273" s="103" t="e">
        <f t="shared" si="22"/>
        <v>#REF!</v>
      </c>
    </row>
    <row r="274" spans="1:11" x14ac:dyDescent="0.2">
      <c r="A274" s="99">
        <v>4308</v>
      </c>
      <c r="B274" s="100"/>
      <c r="C274" s="101" t="s">
        <v>79</v>
      </c>
      <c r="D274" s="149"/>
      <c r="E274" s="31">
        <v>47694</v>
      </c>
      <c r="F274" s="31">
        <v>0</v>
      </c>
      <c r="G274" s="31">
        <v>0</v>
      </c>
      <c r="H274" s="31">
        <v>0</v>
      </c>
      <c r="I274" s="31"/>
      <c r="J274" s="31">
        <f t="shared" si="21"/>
        <v>47694</v>
      </c>
      <c r="K274" s="103" t="e">
        <f t="shared" si="22"/>
        <v>#REF!</v>
      </c>
    </row>
    <row r="275" spans="1:11" ht="15.75" thickBot="1" x14ac:dyDescent="0.25">
      <c r="A275" s="120"/>
      <c r="B275" s="121"/>
      <c r="C275" s="122"/>
      <c r="D275" s="160"/>
      <c r="E275" s="161"/>
      <c r="F275" s="161"/>
      <c r="G275" s="161"/>
      <c r="H275" s="161"/>
      <c r="I275" s="161"/>
      <c r="J275" s="161"/>
      <c r="K275" s="162"/>
    </row>
    <row r="276" spans="1:11" ht="15.75" thickTop="1" x14ac:dyDescent="0.2">
      <c r="A276" s="135"/>
      <c r="B276" s="136"/>
      <c r="C276" s="137"/>
      <c r="D276" s="163"/>
      <c r="E276" s="164"/>
      <c r="F276" s="164"/>
      <c r="G276" s="164"/>
      <c r="H276" s="164"/>
      <c r="I276" s="164"/>
      <c r="J276" s="164"/>
      <c r="K276" s="165"/>
    </row>
    <row r="277" spans="1:11" ht="15.75" thickBot="1" x14ac:dyDescent="0.25">
      <c r="A277" s="82"/>
      <c r="B277" s="94"/>
      <c r="C277" s="95"/>
      <c r="D277" s="145"/>
      <c r="E277" s="34"/>
      <c r="F277" s="34"/>
      <c r="G277" s="34"/>
      <c r="H277" s="34"/>
      <c r="I277" s="34"/>
      <c r="J277" s="34"/>
      <c r="K277" s="166"/>
    </row>
    <row r="278" spans="1:11" ht="17.25" thickTop="1" thickBot="1" x14ac:dyDescent="0.3">
      <c r="A278" s="69" t="s">
        <v>83</v>
      </c>
      <c r="B278" s="70"/>
      <c r="C278" s="77" t="s">
        <v>828</v>
      </c>
      <c r="D278" s="142"/>
      <c r="E278" s="73">
        <f t="shared" ref="E278:J278" si="23">E22-E144</f>
        <v>-54779438.59820509</v>
      </c>
      <c r="F278" s="73">
        <f t="shared" si="23"/>
        <v>2000991.7765061855</v>
      </c>
      <c r="G278" s="73">
        <f t="shared" si="23"/>
        <v>-0.47783482074737549</v>
      </c>
      <c r="H278" s="73">
        <f t="shared" si="23"/>
        <v>-12266505.44054085</v>
      </c>
      <c r="I278" s="73">
        <f t="shared" si="23"/>
        <v>0</v>
      </c>
      <c r="J278" s="167">
        <f t="shared" si="23"/>
        <v>-65044952.740074635</v>
      </c>
      <c r="K278" s="76" t="e">
        <f>J278/J$141*100</f>
        <v>#REF!</v>
      </c>
    </row>
    <row r="279" spans="1:11" ht="16.5" thickTop="1" x14ac:dyDescent="0.25">
      <c r="A279" s="69"/>
      <c r="B279" s="70"/>
      <c r="C279" s="71" t="s">
        <v>829</v>
      </c>
      <c r="D279" s="142"/>
      <c r="E279" s="430" t="e">
        <f>+E278/$J$141*100</f>
        <v>#REF!</v>
      </c>
      <c r="F279" s="430" t="e">
        <f>+F278/$J$141*100</f>
        <v>#REF!</v>
      </c>
      <c r="G279" s="430" t="e">
        <f>+G278/$J$141*100</f>
        <v>#REF!</v>
      </c>
      <c r="H279" s="430" t="e">
        <f>+H278/$J$141*100</f>
        <v>#REF!</v>
      </c>
      <c r="I279" s="32"/>
      <c r="J279" s="32"/>
      <c r="K279" s="144"/>
    </row>
    <row r="280" spans="1:11" ht="15.75" x14ac:dyDescent="0.25">
      <c r="A280" s="88"/>
      <c r="B280" s="89"/>
      <c r="C280" s="90" t="s">
        <v>88</v>
      </c>
      <c r="D280" s="146"/>
      <c r="E280" s="48"/>
      <c r="F280" s="48"/>
      <c r="G280" s="48"/>
      <c r="H280" s="48"/>
      <c r="I280" s="32"/>
      <c r="J280" s="32"/>
      <c r="K280" s="257"/>
    </row>
    <row r="281" spans="1:11" ht="15.75" x14ac:dyDescent="0.25">
      <c r="A281" s="88"/>
      <c r="B281" s="89"/>
      <c r="C281" s="246" t="s">
        <v>864</v>
      </c>
      <c r="D281" s="146"/>
      <c r="E281" s="32"/>
      <c r="F281" s="32"/>
      <c r="G281" s="32"/>
      <c r="H281" s="32"/>
      <c r="I281" s="32"/>
      <c r="J281" s="32"/>
      <c r="K281" s="93"/>
    </row>
    <row r="282" spans="1:11" ht="15.75" thickBot="1" x14ac:dyDescent="0.25">
      <c r="A282" s="169"/>
      <c r="B282" s="170"/>
      <c r="C282" s="171"/>
      <c r="D282" s="160"/>
      <c r="E282" s="161"/>
      <c r="F282" s="161"/>
      <c r="G282" s="161"/>
      <c r="H282" s="161"/>
      <c r="I282" s="161"/>
      <c r="J282" s="161"/>
      <c r="K282" s="166"/>
    </row>
    <row r="283" spans="1:11" ht="15.75" thickTop="1" x14ac:dyDescent="0.2">
      <c r="A283" s="61"/>
      <c r="B283" s="62"/>
      <c r="C283" s="172"/>
      <c r="D283" s="173"/>
      <c r="E283" s="66"/>
      <c r="F283" s="66"/>
      <c r="G283" s="66"/>
      <c r="H283" s="66"/>
      <c r="I283" s="66"/>
      <c r="J283" s="66"/>
      <c r="K283" s="174"/>
    </row>
    <row r="284" spans="1:11" ht="15.75" x14ac:dyDescent="0.25">
      <c r="A284" s="69" t="s">
        <v>90</v>
      </c>
      <c r="B284" s="70"/>
      <c r="C284" s="77" t="s">
        <v>91</v>
      </c>
      <c r="D284" s="142"/>
      <c r="E284" s="73">
        <f t="shared" ref="E284:J284" si="24">(E22-E82)-(E144-E186-E193)</f>
        <v>20315095.40179491</v>
      </c>
      <c r="F284" s="73">
        <f t="shared" si="24"/>
        <v>339243.74240118265</v>
      </c>
      <c r="G284" s="73">
        <f t="shared" si="24"/>
        <v>1314409.7561651468</v>
      </c>
      <c r="H284" s="73">
        <f t="shared" si="24"/>
        <v>-11920820.44054085</v>
      </c>
      <c r="I284" s="73">
        <f t="shared" si="24"/>
        <v>0</v>
      </c>
      <c r="J284" s="73">
        <f t="shared" si="24"/>
        <v>10047928.459820271</v>
      </c>
      <c r="K284" s="92" t="e">
        <f>J284/J$141*100</f>
        <v>#REF!</v>
      </c>
    </row>
    <row r="285" spans="1:11" ht="15.75" x14ac:dyDescent="0.25">
      <c r="A285" s="69"/>
      <c r="B285" s="70"/>
      <c r="C285" s="77" t="s">
        <v>93</v>
      </c>
      <c r="D285" s="142"/>
      <c r="E285" s="73"/>
      <c r="F285" s="73"/>
      <c r="G285" s="73"/>
      <c r="H285" s="73"/>
      <c r="I285" s="73"/>
      <c r="J285" s="175"/>
      <c r="K285" s="93"/>
    </row>
    <row r="286" spans="1:11" ht="15.75" x14ac:dyDescent="0.25">
      <c r="A286" s="88"/>
      <c r="B286" s="89"/>
      <c r="C286" s="90" t="s">
        <v>95</v>
      </c>
      <c r="D286" s="146"/>
      <c r="E286" s="32"/>
      <c r="F286" s="32"/>
      <c r="G286" s="32"/>
      <c r="H286" s="32"/>
      <c r="I286" s="32"/>
      <c r="J286" s="29"/>
      <c r="K286" s="93"/>
    </row>
    <row r="287" spans="1:11" ht="15.75" thickBot="1" x14ac:dyDescent="0.25">
      <c r="A287" s="120"/>
      <c r="B287" s="121"/>
      <c r="C287" s="122"/>
      <c r="D287" s="160"/>
      <c r="E287" s="124"/>
      <c r="F287" s="124"/>
      <c r="G287" s="124"/>
      <c r="H287" s="124"/>
      <c r="I287" s="124"/>
      <c r="J287" s="124"/>
      <c r="K287" s="125"/>
    </row>
    <row r="288" spans="1:11" ht="15.75" thickTop="1" x14ac:dyDescent="0.2">
      <c r="A288" s="61"/>
      <c r="B288" s="62"/>
      <c r="C288" s="172"/>
      <c r="D288" s="173"/>
      <c r="E288" s="176"/>
      <c r="F288" s="176"/>
      <c r="G288" s="176"/>
      <c r="H288" s="176"/>
      <c r="I288" s="176"/>
      <c r="J288" s="176"/>
      <c r="K288" s="177"/>
    </row>
    <row r="289" spans="1:11" ht="15.75" x14ac:dyDescent="0.25">
      <c r="A289" s="69" t="s">
        <v>96</v>
      </c>
      <c r="B289" s="70"/>
      <c r="C289" s="77" t="s">
        <v>97</v>
      </c>
      <c r="D289" s="142"/>
      <c r="E289" s="73">
        <f t="shared" ref="E289:J289" si="25">E25-(E147+E206)</f>
        <v>80712144.611794949</v>
      </c>
      <c r="F289" s="73">
        <f t="shared" si="25"/>
        <v>35069945.945841163</v>
      </c>
      <c r="G289" s="73">
        <f t="shared" si="25"/>
        <v>-229997248.60131884</v>
      </c>
      <c r="H289" s="73">
        <f t="shared" si="25"/>
        <v>-79085276.44054085</v>
      </c>
      <c r="I289" s="73">
        <f t="shared" si="25"/>
        <v>-337004137.03451395</v>
      </c>
      <c r="J289" s="73">
        <f t="shared" si="25"/>
        <v>143703702.55029011</v>
      </c>
      <c r="K289" s="92" t="e">
        <f>J289/J$141*100</f>
        <v>#REF!</v>
      </c>
    </row>
    <row r="290" spans="1:11" ht="15.75" x14ac:dyDescent="0.25">
      <c r="A290" s="69"/>
      <c r="B290" s="70"/>
      <c r="C290" s="77" t="s">
        <v>93</v>
      </c>
      <c r="D290" s="142"/>
      <c r="E290" s="73"/>
      <c r="F290" s="73"/>
      <c r="G290" s="73"/>
      <c r="H290" s="73"/>
      <c r="I290" s="73"/>
      <c r="J290" s="73"/>
      <c r="K290" s="93"/>
    </row>
    <row r="291" spans="1:11" ht="15.75" x14ac:dyDescent="0.25">
      <c r="A291" s="88"/>
      <c r="B291" s="89"/>
      <c r="C291" s="90" t="s">
        <v>99</v>
      </c>
      <c r="D291" s="146"/>
      <c r="E291" s="32"/>
      <c r="F291" s="32"/>
      <c r="G291" s="32"/>
      <c r="H291" s="32"/>
      <c r="I291" s="32"/>
      <c r="J291" s="29"/>
      <c r="K291" s="93"/>
    </row>
    <row r="292" spans="1:11" ht="15.75" thickBot="1" x14ac:dyDescent="0.25">
      <c r="A292" s="178"/>
      <c r="B292" s="179"/>
      <c r="C292" s="180"/>
      <c r="D292" s="181"/>
      <c r="E292" s="182"/>
      <c r="F292" s="182"/>
      <c r="G292" s="182"/>
      <c r="H292" s="182"/>
      <c r="I292" s="182"/>
      <c r="J292" s="182"/>
      <c r="K292" s="183"/>
    </row>
    <row r="293" spans="1:11" ht="15.75" thickTop="1" x14ac:dyDescent="0.2">
      <c r="A293" s="184"/>
      <c r="B293" s="184"/>
      <c r="C293" s="56"/>
      <c r="D293" s="185"/>
      <c r="E293" s="186"/>
      <c r="F293" s="186"/>
      <c r="G293" s="186"/>
      <c r="H293" s="186"/>
      <c r="I293" s="186"/>
      <c r="J293" s="186"/>
      <c r="K293" s="186"/>
    </row>
    <row r="294" spans="1:11" x14ac:dyDescent="0.2">
      <c r="A294" s="53"/>
      <c r="B294" s="53"/>
      <c r="C294" s="54"/>
      <c r="D294" s="187"/>
      <c r="E294" s="188"/>
      <c r="F294" s="188"/>
      <c r="G294" s="188"/>
      <c r="H294" s="188"/>
      <c r="I294" s="188"/>
      <c r="J294" s="188"/>
      <c r="K294" s="51"/>
    </row>
    <row r="295" spans="1:11" x14ac:dyDescent="0.2">
      <c r="A295" s="53"/>
      <c r="B295" s="53"/>
      <c r="C295" s="54"/>
      <c r="D295" s="187"/>
      <c r="E295" s="188"/>
      <c r="F295" s="188"/>
      <c r="G295" s="188"/>
      <c r="H295" s="188"/>
      <c r="I295" s="188"/>
      <c r="J295" s="188"/>
      <c r="K295" s="51"/>
    </row>
    <row r="296" spans="1:11" ht="23.25" x14ac:dyDescent="0.35">
      <c r="A296" s="201"/>
      <c r="B296" s="237" t="s">
        <v>841</v>
      </c>
      <c r="C296" s="239" t="s">
        <v>842</v>
      </c>
      <c r="D296" s="239" t="s">
        <v>843</v>
      </c>
      <c r="E296" s="237"/>
      <c r="F296" s="240"/>
      <c r="G296" s="264"/>
      <c r="H296" s="264"/>
      <c r="I296" s="381"/>
      <c r="J296" s="381"/>
      <c r="K296" s="9"/>
    </row>
    <row r="297" spans="1:11" x14ac:dyDescent="0.2">
      <c r="A297" s="53"/>
      <c r="B297" s="53"/>
      <c r="C297" s="54"/>
      <c r="D297" s="54"/>
      <c r="E297" s="51"/>
      <c r="F297" s="51"/>
      <c r="G297" s="51"/>
      <c r="H297" s="51"/>
      <c r="I297" s="51"/>
      <c r="J297" s="51"/>
      <c r="K297" s="51"/>
    </row>
    <row r="298" spans="1:11" ht="16.5" thickBot="1" x14ac:dyDescent="0.3">
      <c r="A298" s="305"/>
      <c r="B298" s="305"/>
      <c r="C298" s="346"/>
      <c r="D298" s="346"/>
      <c r="E298" s="241"/>
      <c r="F298" s="241"/>
      <c r="G298" s="241"/>
      <c r="H298" s="241"/>
      <c r="I298" s="55" t="s">
        <v>208</v>
      </c>
      <c r="J298" s="55"/>
      <c r="K298" s="241"/>
    </row>
    <row r="299" spans="1:11" ht="16.5" thickTop="1" x14ac:dyDescent="0.25">
      <c r="A299" s="306"/>
      <c r="B299" s="317"/>
      <c r="C299" s="347"/>
      <c r="D299" s="373"/>
      <c r="E299" s="334"/>
      <c r="F299" s="335"/>
      <c r="G299" s="335"/>
      <c r="H299" s="335"/>
      <c r="I299" s="335"/>
      <c r="J299" s="339"/>
      <c r="K299" s="276"/>
    </row>
    <row r="300" spans="1:11" ht="20.25" x14ac:dyDescent="0.3">
      <c r="A300" s="307"/>
      <c r="B300" s="242"/>
      <c r="C300" s="345"/>
      <c r="D300" s="374"/>
      <c r="E300" s="336" t="s">
        <v>874</v>
      </c>
      <c r="F300" s="337"/>
      <c r="G300" s="337"/>
      <c r="H300" s="337"/>
      <c r="I300" s="337"/>
      <c r="J300" s="340"/>
      <c r="K300" s="277" t="s">
        <v>209</v>
      </c>
    </row>
    <row r="301" spans="1:11" ht="15.75" x14ac:dyDescent="0.25">
      <c r="A301" s="307"/>
      <c r="B301" s="242"/>
      <c r="C301" s="345"/>
      <c r="D301" s="374"/>
      <c r="E301" s="278"/>
      <c r="F301" s="279"/>
      <c r="G301" s="280"/>
      <c r="H301" s="281"/>
      <c r="I301" s="282" t="s">
        <v>210</v>
      </c>
      <c r="J301" s="282" t="s">
        <v>211</v>
      </c>
      <c r="K301" s="277" t="s">
        <v>212</v>
      </c>
    </row>
    <row r="302" spans="1:11" ht="15.75" x14ac:dyDescent="0.25">
      <c r="A302" s="329" t="s">
        <v>213</v>
      </c>
      <c r="B302" s="242"/>
      <c r="C302" s="345"/>
      <c r="D302" s="374"/>
      <c r="E302" s="283" t="s">
        <v>214</v>
      </c>
      <c r="F302" s="284" t="s">
        <v>215</v>
      </c>
      <c r="G302" s="288" t="s">
        <v>216</v>
      </c>
      <c r="H302" s="289" t="s">
        <v>217</v>
      </c>
      <c r="I302" s="285" t="s">
        <v>218</v>
      </c>
      <c r="J302" s="285" t="s">
        <v>219</v>
      </c>
      <c r="K302" s="277" t="s">
        <v>220</v>
      </c>
    </row>
    <row r="303" spans="1:11" ht="15.75" x14ac:dyDescent="0.25">
      <c r="A303" s="307"/>
      <c r="B303" s="242"/>
      <c r="C303" s="345"/>
      <c r="D303" s="374"/>
      <c r="E303" s="283" t="s">
        <v>221</v>
      </c>
      <c r="F303" s="284" t="s">
        <v>222</v>
      </c>
      <c r="G303" s="288"/>
      <c r="H303" s="289"/>
      <c r="I303" s="294" t="s">
        <v>223</v>
      </c>
      <c r="J303" s="285" t="s">
        <v>224</v>
      </c>
      <c r="K303" s="277" t="s">
        <v>225</v>
      </c>
    </row>
    <row r="304" spans="1:11" ht="16.5" thickBot="1" x14ac:dyDescent="0.3">
      <c r="A304" s="308"/>
      <c r="B304" s="243"/>
      <c r="C304" s="346"/>
      <c r="D304" s="375"/>
      <c r="E304" s="290"/>
      <c r="F304" s="291"/>
      <c r="G304" s="292"/>
      <c r="H304" s="293"/>
      <c r="I304" s="295" t="s">
        <v>226</v>
      </c>
      <c r="J304" s="286"/>
      <c r="K304" s="287" t="s">
        <v>228</v>
      </c>
    </row>
    <row r="305" spans="1:13" ht="15.75" thickTop="1" x14ac:dyDescent="0.2">
      <c r="A305" s="57"/>
      <c r="B305" s="58"/>
      <c r="C305" s="59"/>
      <c r="D305" s="60"/>
      <c r="E305" s="260" t="s">
        <v>229</v>
      </c>
      <c r="F305" s="260" t="s">
        <v>230</v>
      </c>
      <c r="G305" s="260" t="s">
        <v>231</v>
      </c>
      <c r="H305" s="260" t="s">
        <v>232</v>
      </c>
      <c r="I305" s="260" t="s">
        <v>233</v>
      </c>
      <c r="J305" s="260" t="s">
        <v>234</v>
      </c>
      <c r="K305" s="272"/>
    </row>
    <row r="306" spans="1:13" ht="15.75" x14ac:dyDescent="0.25">
      <c r="A306" s="190"/>
      <c r="B306" s="191" t="s">
        <v>100</v>
      </c>
      <c r="C306" s="192" t="s">
        <v>674</v>
      </c>
      <c r="D306" s="193"/>
      <c r="E306" s="194"/>
      <c r="F306" s="194"/>
      <c r="G306" s="194"/>
      <c r="H306" s="194"/>
      <c r="I306" s="194"/>
      <c r="J306" s="194"/>
      <c r="K306" s="195"/>
    </row>
    <row r="307" spans="1:13" ht="15.75" x14ac:dyDescent="0.25">
      <c r="A307" s="190"/>
      <c r="B307" s="191"/>
      <c r="C307" s="192" t="s">
        <v>676</v>
      </c>
      <c r="D307" s="193"/>
      <c r="E307" s="73">
        <f t="shared" ref="E307:J307" si="26">E309+E319+E324</f>
        <v>48740895</v>
      </c>
      <c r="F307" s="73">
        <f t="shared" si="26"/>
        <v>5009222</v>
      </c>
      <c r="G307" s="73">
        <f t="shared" si="26"/>
        <v>61733</v>
      </c>
      <c r="H307" s="73">
        <f t="shared" si="26"/>
        <v>0</v>
      </c>
      <c r="I307" s="73">
        <f t="shared" si="26"/>
        <v>0</v>
      </c>
      <c r="J307" s="73">
        <f t="shared" si="26"/>
        <v>53811850</v>
      </c>
      <c r="K307" s="197" t="e">
        <f>J307/J$141*100</f>
        <v>#REF!</v>
      </c>
    </row>
    <row r="308" spans="1:13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3" x14ac:dyDescent="0.2">
      <c r="A309" s="99">
        <v>750</v>
      </c>
      <c r="B309" s="100"/>
      <c r="C309" s="101" t="s">
        <v>678</v>
      </c>
      <c r="D309" s="149"/>
      <c r="E309" s="31">
        <f>SUM(E310:E317)</f>
        <v>2990895</v>
      </c>
      <c r="F309" s="31">
        <v>1859222</v>
      </c>
      <c r="G309" s="31">
        <f>SUM(G310:G317)</f>
        <v>61733</v>
      </c>
      <c r="H309" s="31">
        <f>SUM(H310:H317)</f>
        <v>0</v>
      </c>
      <c r="I309" s="31">
        <f>SUM(I310:I317)</f>
        <v>0</v>
      </c>
      <c r="J309" s="31">
        <f>+E309+F309+G309+H309-I309</f>
        <v>4911850</v>
      </c>
      <c r="K309" s="103" t="e">
        <f t="shared" ref="K309:K317" si="27">J309/J$141*100</f>
        <v>#REF!</v>
      </c>
    </row>
    <row r="310" spans="1:13" x14ac:dyDescent="0.2">
      <c r="A310" s="99">
        <v>7500</v>
      </c>
      <c r="B310" s="100"/>
      <c r="C310" s="101" t="s">
        <v>680</v>
      </c>
      <c r="D310" s="149"/>
      <c r="E310" s="31">
        <v>0</v>
      </c>
      <c r="F310" s="31">
        <v>0</v>
      </c>
      <c r="G310" s="31">
        <v>61733</v>
      </c>
      <c r="H310" s="31">
        <v>0</v>
      </c>
      <c r="I310" s="31"/>
      <c r="J310" s="31">
        <f t="shared" ref="J310:J316" si="28">E310+F310+G310+H310-I310</f>
        <v>61733</v>
      </c>
      <c r="K310" s="103" t="e">
        <f t="shared" si="27"/>
        <v>#REF!</v>
      </c>
    </row>
    <row r="311" spans="1:13" x14ac:dyDescent="0.2">
      <c r="A311" s="99">
        <v>7501</v>
      </c>
      <c r="B311" s="100"/>
      <c r="C311" s="101" t="s">
        <v>876</v>
      </c>
      <c r="D311" s="149"/>
      <c r="E311" s="31">
        <v>0</v>
      </c>
      <c r="F311" s="31">
        <v>0</v>
      </c>
      <c r="G311" s="31">
        <v>0</v>
      </c>
      <c r="H311" s="31">
        <v>0</v>
      </c>
      <c r="I311" s="31"/>
      <c r="J311" s="31">
        <f t="shared" si="28"/>
        <v>0</v>
      </c>
      <c r="K311" s="103" t="e">
        <f t="shared" si="27"/>
        <v>#REF!</v>
      </c>
    </row>
    <row r="312" spans="1:13" x14ac:dyDescent="0.2">
      <c r="A312" s="99">
        <v>7502</v>
      </c>
      <c r="B312" s="100"/>
      <c r="C312" s="101" t="s">
        <v>682</v>
      </c>
      <c r="D312" s="149"/>
      <c r="E312" s="31">
        <v>178133</v>
      </c>
      <c r="F312" s="31">
        <v>0</v>
      </c>
      <c r="G312" s="31">
        <v>0</v>
      </c>
      <c r="H312" s="31">
        <v>0</v>
      </c>
      <c r="I312" s="31"/>
      <c r="J312" s="31">
        <f t="shared" si="28"/>
        <v>178133</v>
      </c>
      <c r="K312" s="103" t="e">
        <f t="shared" si="27"/>
        <v>#REF!</v>
      </c>
      <c r="M312" s="431">
        <f>+J310+J312+J313+J314</f>
        <v>3052628</v>
      </c>
    </row>
    <row r="313" spans="1:13" x14ac:dyDescent="0.2">
      <c r="A313" s="99">
        <v>7503</v>
      </c>
      <c r="B313" s="100"/>
      <c r="C313" s="101" t="s">
        <v>877</v>
      </c>
      <c r="D313" s="149"/>
      <c r="E313" s="31">
        <v>2027564</v>
      </c>
      <c r="F313" s="31">
        <v>0</v>
      </c>
      <c r="G313" s="31">
        <v>0</v>
      </c>
      <c r="H313" s="31">
        <v>0</v>
      </c>
      <c r="I313" s="31"/>
      <c r="J313" s="31">
        <f t="shared" si="28"/>
        <v>2027564</v>
      </c>
      <c r="K313" s="103" t="e">
        <f t="shared" si="27"/>
        <v>#REF!</v>
      </c>
    </row>
    <row r="314" spans="1:13" s="423" customFormat="1" x14ac:dyDescent="0.2">
      <c r="A314" s="99">
        <v>7504</v>
      </c>
      <c r="B314" s="100"/>
      <c r="C314" s="101" t="s">
        <v>686</v>
      </c>
      <c r="D314" s="149"/>
      <c r="E314" s="31">
        <v>785198</v>
      </c>
      <c r="F314" s="31"/>
      <c r="G314" s="31">
        <v>0</v>
      </c>
      <c r="H314" s="31">
        <v>0</v>
      </c>
      <c r="I314" s="31"/>
      <c r="J314" s="31">
        <f t="shared" si="28"/>
        <v>785198</v>
      </c>
      <c r="K314" s="103" t="e">
        <f t="shared" si="27"/>
        <v>#REF!</v>
      </c>
    </row>
    <row r="315" spans="1:13" s="423" customFormat="1" x14ac:dyDescent="0.2">
      <c r="A315" s="99">
        <v>7505</v>
      </c>
      <c r="B315" s="100"/>
      <c r="C315" s="101" t="s">
        <v>688</v>
      </c>
      <c r="D315" s="149"/>
      <c r="E315" s="31">
        <v>0</v>
      </c>
      <c r="F315" s="31">
        <v>0</v>
      </c>
      <c r="G315" s="31">
        <v>0</v>
      </c>
      <c r="H315" s="31"/>
      <c r="I315" s="31"/>
      <c r="J315" s="31">
        <f t="shared" si="28"/>
        <v>0</v>
      </c>
      <c r="K315" s="103" t="e">
        <f t="shared" si="27"/>
        <v>#REF!</v>
      </c>
    </row>
    <row r="316" spans="1:13" x14ac:dyDescent="0.2">
      <c r="A316" s="99">
        <v>7506</v>
      </c>
      <c r="B316" s="100"/>
      <c r="C316" s="101" t="s">
        <v>692</v>
      </c>
      <c r="D316" s="149"/>
      <c r="E316" s="31">
        <v>0</v>
      </c>
      <c r="F316" s="31">
        <v>0</v>
      </c>
      <c r="G316" s="31">
        <v>0</v>
      </c>
      <c r="H316" s="31">
        <v>0</v>
      </c>
      <c r="I316" s="31"/>
      <c r="J316" s="31">
        <f t="shared" si="28"/>
        <v>0</v>
      </c>
      <c r="K316" s="103" t="e">
        <f t="shared" si="27"/>
        <v>#REF!</v>
      </c>
    </row>
    <row r="317" spans="1:13" x14ac:dyDescent="0.2">
      <c r="A317" s="99">
        <v>7507</v>
      </c>
      <c r="B317" s="100"/>
      <c r="C317" s="101" t="s">
        <v>690</v>
      </c>
      <c r="D317" s="149"/>
      <c r="E317" s="31">
        <v>0</v>
      </c>
      <c r="F317" s="31"/>
      <c r="G317" s="31"/>
      <c r="H317" s="31"/>
      <c r="I317" s="31">
        <f>+H317+G317+F317+E317</f>
        <v>0</v>
      </c>
      <c r="J317" s="31">
        <f>E317+F317+G317+H317-I317</f>
        <v>0</v>
      </c>
      <c r="K317" s="103" t="e">
        <f t="shared" si="27"/>
        <v>#REF!</v>
      </c>
    </row>
    <row r="318" spans="1:13" x14ac:dyDescent="0.2">
      <c r="A318" s="82"/>
      <c r="B318" s="94"/>
      <c r="C318" s="95"/>
      <c r="D318" s="145"/>
      <c r="E318" s="34"/>
      <c r="F318" s="34"/>
      <c r="G318" s="34"/>
      <c r="H318" s="34"/>
      <c r="I318" s="34"/>
      <c r="J318" s="34"/>
      <c r="K318" s="105"/>
    </row>
    <row r="319" spans="1:13" x14ac:dyDescent="0.2">
      <c r="A319" s="99">
        <v>751</v>
      </c>
      <c r="B319" s="100"/>
      <c r="C319" s="101" t="s">
        <v>676</v>
      </c>
      <c r="D319" s="149"/>
      <c r="E319" s="31">
        <f>SUM(E320:E322)</f>
        <v>45740000</v>
      </c>
      <c r="F319" s="31">
        <v>2500000</v>
      </c>
      <c r="G319" s="31">
        <f>SUM(G320:G322)</f>
        <v>0</v>
      </c>
      <c r="H319" s="31">
        <v>0</v>
      </c>
      <c r="I319" s="31">
        <f>SUM(I320:I322)</f>
        <v>0</v>
      </c>
      <c r="J319" s="31">
        <f>+E319+F319+G319+H319-I319</f>
        <v>48240000</v>
      </c>
      <c r="K319" s="103" t="e">
        <f>J319/J$141*100</f>
        <v>#REF!</v>
      </c>
    </row>
    <row r="320" spans="1:13" x14ac:dyDescent="0.2">
      <c r="A320" s="99">
        <v>7510</v>
      </c>
      <c r="B320" s="100"/>
      <c r="C320" s="101" t="s">
        <v>694</v>
      </c>
      <c r="D320" s="149"/>
      <c r="E320" s="31">
        <v>45000000</v>
      </c>
      <c r="F320" s="31">
        <v>0</v>
      </c>
      <c r="G320" s="31">
        <v>0</v>
      </c>
      <c r="H320" s="31">
        <v>0</v>
      </c>
      <c r="I320" s="31">
        <v>0</v>
      </c>
      <c r="J320" s="31">
        <f>E320+F320+G320+H320-I320</f>
        <v>45000000</v>
      </c>
      <c r="K320" s="103" t="e">
        <f>J320/J$141*100</f>
        <v>#REF!</v>
      </c>
    </row>
    <row r="321" spans="1:11" x14ac:dyDescent="0.2">
      <c r="A321" s="99">
        <v>7511</v>
      </c>
      <c r="B321" s="100"/>
      <c r="C321" s="101" t="s">
        <v>696</v>
      </c>
      <c r="D321" s="149"/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f>E321+F321+G321+H321-I321</f>
        <v>0</v>
      </c>
      <c r="K321" s="103" t="e">
        <f>J321/J$141*100</f>
        <v>#REF!</v>
      </c>
    </row>
    <row r="322" spans="1:11" x14ac:dyDescent="0.2">
      <c r="A322" s="99">
        <v>7512</v>
      </c>
      <c r="B322" s="100"/>
      <c r="C322" s="101" t="s">
        <v>698</v>
      </c>
      <c r="D322" s="149"/>
      <c r="E322" s="31">
        <v>740000</v>
      </c>
      <c r="F322" s="31">
        <v>0</v>
      </c>
      <c r="G322" s="31">
        <v>0</v>
      </c>
      <c r="H322" s="31">
        <v>0</v>
      </c>
      <c r="I322" s="31">
        <v>0</v>
      </c>
      <c r="J322" s="31">
        <f>E322+F322+G322+H322-I322</f>
        <v>740000</v>
      </c>
      <c r="K322" s="103" t="e">
        <f>J322/J$141*100</f>
        <v>#REF!</v>
      </c>
    </row>
    <row r="323" spans="1:11" x14ac:dyDescent="0.2">
      <c r="A323" s="82"/>
      <c r="B323" s="94"/>
      <c r="C323" s="95"/>
      <c r="D323" s="145"/>
      <c r="E323" s="34"/>
      <c r="F323" s="34"/>
      <c r="G323" s="34"/>
      <c r="H323" s="34"/>
      <c r="I323" s="34"/>
      <c r="J323" s="34"/>
      <c r="K323" s="150"/>
    </row>
    <row r="324" spans="1:11" x14ac:dyDescent="0.2">
      <c r="A324" s="99">
        <v>752</v>
      </c>
      <c r="B324" s="100"/>
      <c r="C324" s="101" t="s">
        <v>700</v>
      </c>
      <c r="D324" s="149"/>
      <c r="E324" s="31">
        <f>E325</f>
        <v>10000</v>
      </c>
      <c r="F324" s="31">
        <f>F325</f>
        <v>650000</v>
      </c>
      <c r="G324" s="31">
        <f>G325</f>
        <v>0</v>
      </c>
      <c r="H324" s="31">
        <f>H325</f>
        <v>0</v>
      </c>
      <c r="I324" s="31">
        <f>I325</f>
        <v>0</v>
      </c>
      <c r="J324" s="31">
        <f>+E324+F324+G324+H324-I324</f>
        <v>660000</v>
      </c>
      <c r="K324" s="103" t="e">
        <f>J324/J$141*100</f>
        <v>#REF!</v>
      </c>
    </row>
    <row r="325" spans="1:11" x14ac:dyDescent="0.2">
      <c r="A325" s="99">
        <v>7520</v>
      </c>
      <c r="B325" s="100"/>
      <c r="C325" s="101" t="s">
        <v>102</v>
      </c>
      <c r="D325" s="149"/>
      <c r="E325" s="31">
        <v>10000</v>
      </c>
      <c r="F325" s="31">
        <v>650000</v>
      </c>
      <c r="G325" s="31">
        <v>0</v>
      </c>
      <c r="H325" s="31">
        <v>0</v>
      </c>
      <c r="I325" s="31">
        <v>0</v>
      </c>
      <c r="J325" s="31">
        <f>E325+F325+G325+H325-I325</f>
        <v>660000</v>
      </c>
      <c r="K325" s="103" t="e">
        <f>J325/J$141*100</f>
        <v>#REF!</v>
      </c>
    </row>
    <row r="326" spans="1:11" ht="15.75" thickBot="1" x14ac:dyDescent="0.25">
      <c r="A326" s="120"/>
      <c r="B326" s="121"/>
      <c r="C326" s="122"/>
      <c r="D326" s="160"/>
      <c r="E326" s="161"/>
      <c r="F326" s="161"/>
      <c r="G326" s="161"/>
      <c r="H326" s="161"/>
      <c r="I326" s="161"/>
      <c r="J326" s="161"/>
      <c r="K326" s="166"/>
    </row>
    <row r="327" spans="1:11" ht="15.75" thickTop="1" x14ac:dyDescent="0.2">
      <c r="A327" s="135"/>
      <c r="B327" s="136"/>
      <c r="C327" s="137"/>
      <c r="D327" s="163"/>
      <c r="E327" s="164"/>
      <c r="F327" s="164"/>
      <c r="G327" s="164"/>
      <c r="H327" s="164"/>
      <c r="I327" s="164"/>
      <c r="J327" s="164"/>
      <c r="K327" s="198"/>
    </row>
    <row r="328" spans="1:11" ht="15.75" x14ac:dyDescent="0.25">
      <c r="A328" s="69"/>
      <c r="B328" s="70" t="s">
        <v>104</v>
      </c>
      <c r="C328" s="77" t="s">
        <v>105</v>
      </c>
      <c r="D328" s="142"/>
      <c r="E328" s="73"/>
      <c r="F328" s="73"/>
      <c r="G328" s="73"/>
      <c r="H328" s="73"/>
      <c r="I328" s="73"/>
      <c r="J328" s="73"/>
      <c r="K328" s="93"/>
    </row>
    <row r="329" spans="1:11" ht="15.75" x14ac:dyDescent="0.25">
      <c r="A329" s="69"/>
      <c r="B329" s="70"/>
      <c r="C329" s="77" t="s">
        <v>107</v>
      </c>
      <c r="D329" s="142"/>
      <c r="E329" s="73">
        <f t="shared" ref="E329:J329" si="29">E331+E340+E348+E353</f>
        <v>51801525</v>
      </c>
      <c r="F329" s="73">
        <f t="shared" si="29"/>
        <v>1762541.2935999997</v>
      </c>
      <c r="G329" s="73">
        <f t="shared" si="29"/>
        <v>0</v>
      </c>
      <c r="H329" s="73">
        <f t="shared" si="29"/>
        <v>0</v>
      </c>
      <c r="I329" s="73">
        <f t="shared" si="29"/>
        <v>0</v>
      </c>
      <c r="J329" s="73">
        <f t="shared" si="29"/>
        <v>53564066.2936</v>
      </c>
      <c r="K329" s="197" t="e">
        <f>J329/J$141*100</f>
        <v>#REF!</v>
      </c>
    </row>
    <row r="330" spans="1:11" x14ac:dyDescent="0.2">
      <c r="A330" s="82"/>
      <c r="B330" s="94"/>
      <c r="C330" s="95"/>
      <c r="D330" s="145"/>
      <c r="E330" s="34"/>
      <c r="F330" s="34"/>
      <c r="G330" s="34"/>
      <c r="H330" s="34"/>
      <c r="I330" s="34"/>
      <c r="J330" s="34"/>
      <c r="K330" s="105"/>
    </row>
    <row r="331" spans="1:11" x14ac:dyDescent="0.2">
      <c r="A331" s="99">
        <v>440</v>
      </c>
      <c r="B331" s="100"/>
      <c r="C331" s="101" t="s">
        <v>109</v>
      </c>
      <c r="D331" s="149"/>
      <c r="E331" s="31">
        <f>SUM(E332:E338)</f>
        <v>7059825</v>
      </c>
      <c r="F331" s="31">
        <v>1054782.5910399999</v>
      </c>
      <c r="G331" s="31">
        <v>0</v>
      </c>
      <c r="H331" s="31">
        <v>0</v>
      </c>
      <c r="I331" s="31">
        <f>SUM(I332:I338)</f>
        <v>0</v>
      </c>
      <c r="J331" s="31">
        <f>+E331+F331+G331+H331-I331</f>
        <v>8114607.5910400003</v>
      </c>
      <c r="K331" s="103" t="e">
        <f t="shared" ref="K331:K338" si="30">J331/J$141*100</f>
        <v>#REF!</v>
      </c>
    </row>
    <row r="332" spans="1:11" x14ac:dyDescent="0.2">
      <c r="A332" s="99">
        <v>4400</v>
      </c>
      <c r="B332" s="100"/>
      <c r="C332" s="101" t="s">
        <v>111</v>
      </c>
      <c r="D332" s="149"/>
      <c r="E332" s="31">
        <v>2000</v>
      </c>
      <c r="F332" s="31"/>
      <c r="G332" s="31">
        <v>0</v>
      </c>
      <c r="H332" s="31">
        <v>0</v>
      </c>
      <c r="I332" s="31">
        <v>0</v>
      </c>
      <c r="J332" s="31">
        <f t="shared" ref="J332:J338" si="31">E332+F332+G332+H332</f>
        <v>2000</v>
      </c>
      <c r="K332" s="103" t="e">
        <f t="shared" si="30"/>
        <v>#REF!</v>
      </c>
    </row>
    <row r="333" spans="1:11" x14ac:dyDescent="0.2">
      <c r="A333" s="99">
        <v>4401</v>
      </c>
      <c r="B333" s="100"/>
      <c r="C333" s="101" t="s">
        <v>113</v>
      </c>
      <c r="D333" s="149"/>
      <c r="E333" s="31">
        <v>0</v>
      </c>
      <c r="F333" s="31"/>
      <c r="G333" s="31">
        <v>0</v>
      </c>
      <c r="H333" s="31">
        <v>0</v>
      </c>
      <c r="I333" s="31">
        <v>0</v>
      </c>
      <c r="J333" s="31">
        <f t="shared" si="31"/>
        <v>0</v>
      </c>
      <c r="K333" s="103" t="e">
        <f t="shared" si="30"/>
        <v>#REF!</v>
      </c>
    </row>
    <row r="334" spans="1:11" x14ac:dyDescent="0.2">
      <c r="A334" s="99">
        <v>4402</v>
      </c>
      <c r="B334" s="100"/>
      <c r="C334" s="101" t="s">
        <v>115</v>
      </c>
      <c r="D334" s="149"/>
      <c r="E334" s="31">
        <v>0</v>
      </c>
      <c r="F334" s="31"/>
      <c r="G334" s="31">
        <v>0</v>
      </c>
      <c r="H334" s="31">
        <v>0</v>
      </c>
      <c r="I334" s="31">
        <v>0</v>
      </c>
      <c r="J334" s="31">
        <f t="shared" si="31"/>
        <v>0</v>
      </c>
      <c r="K334" s="103" t="e">
        <f t="shared" si="30"/>
        <v>#REF!</v>
      </c>
    </row>
    <row r="335" spans="1:11" x14ac:dyDescent="0.2">
      <c r="A335" s="99">
        <v>4403</v>
      </c>
      <c r="B335" s="100"/>
      <c r="C335" s="101" t="s">
        <v>117</v>
      </c>
      <c r="D335" s="149"/>
      <c r="E335" s="31">
        <v>0</v>
      </c>
      <c r="F335" s="31"/>
      <c r="G335" s="31">
        <v>0</v>
      </c>
      <c r="H335" s="31">
        <v>0</v>
      </c>
      <c r="I335" s="31">
        <v>0</v>
      </c>
      <c r="J335" s="31">
        <f t="shared" si="31"/>
        <v>0</v>
      </c>
      <c r="K335" s="103" t="e">
        <f t="shared" si="30"/>
        <v>#REF!</v>
      </c>
    </row>
    <row r="336" spans="1:11" x14ac:dyDescent="0.2">
      <c r="A336" s="99">
        <v>4404</v>
      </c>
      <c r="B336" s="100"/>
      <c r="C336" s="101" t="s">
        <v>119</v>
      </c>
      <c r="D336" s="149"/>
      <c r="E336" s="31">
        <v>7057825</v>
      </c>
      <c r="F336" s="31"/>
      <c r="G336" s="31">
        <v>0</v>
      </c>
      <c r="H336" s="31">
        <v>0</v>
      </c>
      <c r="I336" s="31">
        <v>0</v>
      </c>
      <c r="J336" s="31">
        <f t="shared" si="31"/>
        <v>7057825</v>
      </c>
      <c r="K336" s="103" t="e">
        <f t="shared" si="30"/>
        <v>#REF!</v>
      </c>
    </row>
    <row r="337" spans="1:11" x14ac:dyDescent="0.2">
      <c r="A337" s="106">
        <v>4405</v>
      </c>
      <c r="B337" s="107"/>
      <c r="C337" s="108" t="s">
        <v>121</v>
      </c>
      <c r="D337" s="153"/>
      <c r="E337" s="109">
        <v>0</v>
      </c>
      <c r="F337" s="109"/>
      <c r="G337" s="109">
        <v>0</v>
      </c>
      <c r="H337" s="109">
        <v>0</v>
      </c>
      <c r="I337" s="109">
        <v>0</v>
      </c>
      <c r="J337" s="109">
        <f t="shared" si="31"/>
        <v>0</v>
      </c>
      <c r="K337" s="103" t="e">
        <f t="shared" si="30"/>
        <v>#REF!</v>
      </c>
    </row>
    <row r="338" spans="1:11" x14ac:dyDescent="0.2">
      <c r="A338" s="99">
        <v>4406</v>
      </c>
      <c r="B338" s="100"/>
      <c r="C338" s="101" t="s">
        <v>123</v>
      </c>
      <c r="D338" s="149"/>
      <c r="E338" s="31">
        <v>0</v>
      </c>
      <c r="F338" s="31"/>
      <c r="G338" s="31">
        <v>0</v>
      </c>
      <c r="H338" s="31">
        <v>0</v>
      </c>
      <c r="I338" s="31"/>
      <c r="J338" s="31">
        <f t="shared" si="31"/>
        <v>0</v>
      </c>
      <c r="K338" s="103" t="e">
        <f t="shared" si="30"/>
        <v>#REF!</v>
      </c>
    </row>
    <row r="339" spans="1:11" x14ac:dyDescent="0.2">
      <c r="A339" s="82"/>
      <c r="B339" s="94"/>
      <c r="C339" s="95"/>
      <c r="D339" s="145"/>
      <c r="E339" s="34"/>
      <c r="F339" s="34"/>
      <c r="G339" s="34"/>
      <c r="H339" s="34"/>
      <c r="I339" s="34"/>
      <c r="J339" s="34"/>
      <c r="K339" s="105"/>
    </row>
    <row r="340" spans="1:11" x14ac:dyDescent="0.2">
      <c r="A340" s="99">
        <v>441</v>
      </c>
      <c r="B340" s="100"/>
      <c r="C340" s="101" t="s">
        <v>125</v>
      </c>
      <c r="D340" s="149"/>
      <c r="E340" s="31">
        <f>SUM(E341:E345)</f>
        <v>44331700</v>
      </c>
      <c r="F340" s="31">
        <v>707758.70255999989</v>
      </c>
      <c r="G340" s="31">
        <v>0</v>
      </c>
      <c r="H340" s="31">
        <v>0</v>
      </c>
      <c r="I340" s="31">
        <f>SUM(I341:I345)</f>
        <v>0</v>
      </c>
      <c r="J340" s="31">
        <f>+E340+F340+G340+H340-I340</f>
        <v>45039458.70256</v>
      </c>
      <c r="K340" s="103" t="e">
        <f t="shared" ref="K340:K346" si="32">J340/J$141*100</f>
        <v>#REF!</v>
      </c>
    </row>
    <row r="341" spans="1:11" x14ac:dyDescent="0.2">
      <c r="A341" s="99">
        <v>4410</v>
      </c>
      <c r="B341" s="100"/>
      <c r="C341" s="101" t="s">
        <v>701</v>
      </c>
      <c r="D341" s="149"/>
      <c r="E341" s="31">
        <v>32361700</v>
      </c>
      <c r="F341" s="31"/>
      <c r="G341" s="31">
        <v>0</v>
      </c>
      <c r="H341" s="31">
        <v>0</v>
      </c>
      <c r="I341" s="31">
        <v>0</v>
      </c>
      <c r="J341" s="31">
        <f t="shared" ref="J341:J346" si="33">E341+F341+G341+H341</f>
        <v>32361700</v>
      </c>
      <c r="K341" s="103" t="e">
        <f t="shared" si="32"/>
        <v>#REF!</v>
      </c>
    </row>
    <row r="342" spans="1:11" x14ac:dyDescent="0.2">
      <c r="A342" s="99">
        <v>4411</v>
      </c>
      <c r="B342" s="100"/>
      <c r="C342" s="101" t="s">
        <v>703</v>
      </c>
      <c r="D342" s="149"/>
      <c r="E342" s="31">
        <v>10250000</v>
      </c>
      <c r="F342" s="31"/>
      <c r="G342" s="31">
        <v>0</v>
      </c>
      <c r="H342" s="31">
        <v>0</v>
      </c>
      <c r="I342" s="31">
        <v>0</v>
      </c>
      <c r="J342" s="31">
        <f t="shared" si="33"/>
        <v>10250000</v>
      </c>
      <c r="K342" s="103" t="e">
        <f t="shared" si="32"/>
        <v>#REF!</v>
      </c>
    </row>
    <row r="343" spans="1:11" x14ac:dyDescent="0.2">
      <c r="A343" s="99">
        <v>4412</v>
      </c>
      <c r="B343" s="100"/>
      <c r="C343" s="101" t="s">
        <v>705</v>
      </c>
      <c r="D343" s="149"/>
      <c r="E343" s="31">
        <v>1500000</v>
      </c>
      <c r="F343" s="31"/>
      <c r="G343" s="31">
        <v>0</v>
      </c>
      <c r="H343" s="31">
        <v>0</v>
      </c>
      <c r="I343" s="31">
        <v>0</v>
      </c>
      <c r="J343" s="31">
        <f t="shared" si="33"/>
        <v>1500000</v>
      </c>
      <c r="K343" s="103" t="e">
        <f t="shared" si="32"/>
        <v>#REF!</v>
      </c>
    </row>
    <row r="344" spans="1:11" x14ac:dyDescent="0.2">
      <c r="A344" s="99">
        <v>4413</v>
      </c>
      <c r="B344" s="100"/>
      <c r="C344" s="101" t="s">
        <v>707</v>
      </c>
      <c r="D344" s="149"/>
      <c r="E344" s="31">
        <v>0</v>
      </c>
      <c r="F344" s="31"/>
      <c r="G344" s="31">
        <v>0</v>
      </c>
      <c r="H344" s="31">
        <v>0</v>
      </c>
      <c r="I344" s="31">
        <v>0</v>
      </c>
      <c r="J344" s="31">
        <f t="shared" si="33"/>
        <v>0</v>
      </c>
      <c r="K344" s="103" t="e">
        <f t="shared" si="32"/>
        <v>#REF!</v>
      </c>
    </row>
    <row r="345" spans="1:11" x14ac:dyDescent="0.2">
      <c r="A345" s="99">
        <v>4414</v>
      </c>
      <c r="B345" s="100"/>
      <c r="C345" s="101" t="s">
        <v>709</v>
      </c>
      <c r="D345" s="149"/>
      <c r="E345" s="31">
        <v>220000</v>
      </c>
      <c r="F345" s="31"/>
      <c r="G345" s="31">
        <v>0</v>
      </c>
      <c r="H345" s="31">
        <v>0</v>
      </c>
      <c r="I345" s="31">
        <v>0</v>
      </c>
      <c r="J345" s="31">
        <f t="shared" si="33"/>
        <v>220000</v>
      </c>
      <c r="K345" s="103" t="e">
        <f t="shared" si="32"/>
        <v>#REF!</v>
      </c>
    </row>
    <row r="346" spans="1:11" x14ac:dyDescent="0.2">
      <c r="A346" s="99">
        <v>4415</v>
      </c>
      <c r="B346" s="100"/>
      <c r="C346" s="101" t="s">
        <v>835</v>
      </c>
      <c r="D346" s="149"/>
      <c r="E346" s="31">
        <v>0</v>
      </c>
      <c r="F346" s="31"/>
      <c r="G346" s="31">
        <v>0</v>
      </c>
      <c r="H346" s="31">
        <v>0</v>
      </c>
      <c r="I346" s="31">
        <v>0</v>
      </c>
      <c r="J346" s="31">
        <f t="shared" si="33"/>
        <v>0</v>
      </c>
      <c r="K346" s="103" t="e">
        <f t="shared" si="32"/>
        <v>#REF!</v>
      </c>
    </row>
    <row r="347" spans="1:11" x14ac:dyDescent="0.2">
      <c r="A347" s="82"/>
      <c r="B347" s="94"/>
      <c r="C347" s="95"/>
      <c r="D347" s="145"/>
      <c r="E347" s="34"/>
      <c r="F347" s="34"/>
      <c r="G347" s="34"/>
      <c r="H347" s="34"/>
      <c r="I347" s="34"/>
      <c r="J347" s="34"/>
      <c r="K347" s="150"/>
    </row>
    <row r="348" spans="1:11" x14ac:dyDescent="0.2">
      <c r="A348" s="99">
        <v>442</v>
      </c>
      <c r="B348" s="100"/>
      <c r="C348" s="101" t="s">
        <v>711</v>
      </c>
      <c r="D348" s="149"/>
      <c r="E348" s="31">
        <f>SUM(E349:E351)</f>
        <v>10000</v>
      </c>
      <c r="F348" s="31">
        <f>F349+F350</f>
        <v>0</v>
      </c>
      <c r="G348" s="31">
        <v>0</v>
      </c>
      <c r="H348" s="31">
        <f>H349+H350</f>
        <v>0</v>
      </c>
      <c r="I348" s="31">
        <f>I349+I350</f>
        <v>0</v>
      </c>
      <c r="J348" s="31">
        <f>+E348+F348+G348+H348-I348</f>
        <v>10000</v>
      </c>
      <c r="K348" s="103" t="e">
        <f>J348/J$141*100</f>
        <v>#REF!</v>
      </c>
    </row>
    <row r="349" spans="1:11" x14ac:dyDescent="0.2">
      <c r="A349" s="99">
        <v>4420</v>
      </c>
      <c r="B349" s="100"/>
      <c r="C349" s="101" t="s">
        <v>713</v>
      </c>
      <c r="D349" s="149"/>
      <c r="E349" s="31">
        <v>2400</v>
      </c>
      <c r="F349" s="31">
        <v>0</v>
      </c>
      <c r="G349" s="31">
        <v>0</v>
      </c>
      <c r="H349" s="31">
        <v>0</v>
      </c>
      <c r="I349" s="31">
        <v>0</v>
      </c>
      <c r="J349" s="31">
        <f>E349+F349+G349+H349</f>
        <v>2400</v>
      </c>
      <c r="K349" s="103" t="e">
        <f>J349/J$141*100</f>
        <v>#REF!</v>
      </c>
    </row>
    <row r="350" spans="1:11" x14ac:dyDescent="0.2">
      <c r="A350" s="99">
        <v>4421</v>
      </c>
      <c r="B350" s="100"/>
      <c r="C350" s="101" t="s">
        <v>715</v>
      </c>
      <c r="D350" s="149"/>
      <c r="E350" s="31">
        <v>7000</v>
      </c>
      <c r="F350" s="31">
        <v>0</v>
      </c>
      <c r="G350" s="31">
        <v>0</v>
      </c>
      <c r="H350" s="31">
        <v>0</v>
      </c>
      <c r="I350" s="31">
        <v>0</v>
      </c>
      <c r="J350" s="31">
        <f>E350+F350+G350+H350</f>
        <v>7000</v>
      </c>
      <c r="K350" s="103" t="e">
        <f>J350/J$141*100</f>
        <v>#REF!</v>
      </c>
    </row>
    <row r="351" spans="1:11" x14ac:dyDescent="0.2">
      <c r="A351" s="99">
        <v>4422</v>
      </c>
      <c r="B351" s="100"/>
      <c r="C351" s="101" t="s">
        <v>824</v>
      </c>
      <c r="D351" s="149"/>
      <c r="E351" s="31">
        <v>600</v>
      </c>
      <c r="F351" s="31">
        <v>0</v>
      </c>
      <c r="G351" s="31">
        <v>0</v>
      </c>
      <c r="H351" s="31">
        <v>0</v>
      </c>
      <c r="I351" s="31">
        <v>0</v>
      </c>
      <c r="J351" s="31">
        <f>E351+F351+G351+H351</f>
        <v>600</v>
      </c>
      <c r="K351" s="103" t="e">
        <f>J351/J$141*100</f>
        <v>#REF!</v>
      </c>
    </row>
    <row r="352" spans="1:11" x14ac:dyDescent="0.2">
      <c r="A352" s="204"/>
      <c r="B352" s="205"/>
      <c r="C352" s="206"/>
      <c r="D352" s="424"/>
      <c r="E352" s="383"/>
      <c r="F352" s="383"/>
      <c r="G352" s="383"/>
      <c r="H352" s="383"/>
      <c r="I352" s="383"/>
      <c r="J352" s="383"/>
      <c r="K352" s="425"/>
    </row>
    <row r="353" spans="1:11" x14ac:dyDescent="0.2">
      <c r="A353" s="204">
        <v>443</v>
      </c>
      <c r="B353" s="205"/>
      <c r="C353" s="206" t="s">
        <v>878</v>
      </c>
      <c r="D353" s="424"/>
      <c r="E353" s="383">
        <f>+E354</f>
        <v>400000</v>
      </c>
      <c r="F353" s="383">
        <f>+F354</f>
        <v>0</v>
      </c>
      <c r="G353" s="383">
        <f>+G354</f>
        <v>0</v>
      </c>
      <c r="H353" s="383">
        <f>+H354</f>
        <v>0</v>
      </c>
      <c r="I353" s="383">
        <f>+I354</f>
        <v>0</v>
      </c>
      <c r="J353" s="31">
        <f>+E353+F353+G353+H353-I353</f>
        <v>400000</v>
      </c>
      <c r="K353" s="425"/>
    </row>
    <row r="354" spans="1:11" x14ac:dyDescent="0.2">
      <c r="A354" s="204">
        <v>4430</v>
      </c>
      <c r="B354" s="205"/>
      <c r="C354" s="206" t="s">
        <v>879</v>
      </c>
      <c r="D354" s="424"/>
      <c r="E354" s="383">
        <v>400000</v>
      </c>
      <c r="F354" s="383"/>
      <c r="G354" s="383"/>
      <c r="H354" s="383"/>
      <c r="I354" s="383"/>
      <c r="J354" s="383">
        <f>+E354+F354+G354+H354+-I354</f>
        <v>400000</v>
      </c>
      <c r="K354" s="425"/>
    </row>
    <row r="355" spans="1:11" ht="15.75" thickBot="1" x14ac:dyDescent="0.25">
      <c r="A355" s="120"/>
      <c r="B355" s="121"/>
      <c r="C355" s="122"/>
      <c r="D355" s="160"/>
      <c r="E355" s="161"/>
      <c r="F355" s="161"/>
      <c r="G355" s="161"/>
      <c r="H355" s="161"/>
      <c r="I355" s="161"/>
      <c r="J355" s="161"/>
      <c r="K355" s="166"/>
    </row>
    <row r="356" spans="1:11" ht="15.75" thickTop="1" x14ac:dyDescent="0.2">
      <c r="A356" s="135"/>
      <c r="B356" s="136"/>
      <c r="C356" s="137"/>
      <c r="D356" s="163"/>
      <c r="E356" s="164"/>
      <c r="F356" s="164"/>
      <c r="G356" s="164"/>
      <c r="H356" s="164"/>
      <c r="I356" s="164"/>
      <c r="J356" s="164"/>
      <c r="K356" s="198"/>
    </row>
    <row r="357" spans="1:11" ht="15.75" x14ac:dyDescent="0.25">
      <c r="A357" s="69"/>
      <c r="B357" s="70" t="s">
        <v>717</v>
      </c>
      <c r="C357" s="77" t="s">
        <v>718</v>
      </c>
      <c r="D357" s="142"/>
      <c r="E357" s="73">
        <f t="shared" ref="E357:J357" si="34">E307-E329</f>
        <v>-3060630</v>
      </c>
      <c r="F357" s="73">
        <f t="shared" si="34"/>
        <v>3246680.7064000005</v>
      </c>
      <c r="G357" s="73">
        <f t="shared" si="34"/>
        <v>61733</v>
      </c>
      <c r="H357" s="73">
        <f t="shared" si="34"/>
        <v>0</v>
      </c>
      <c r="I357" s="73">
        <f t="shared" si="34"/>
        <v>0</v>
      </c>
      <c r="J357" s="199">
        <f t="shared" si="34"/>
        <v>247783.70639999956</v>
      </c>
      <c r="K357" s="197" t="e">
        <f>J357/J$141*100</f>
        <v>#REF!</v>
      </c>
    </row>
    <row r="358" spans="1:11" ht="15.75" x14ac:dyDescent="0.25">
      <c r="A358" s="69"/>
      <c r="B358" s="70"/>
      <c r="C358" s="77" t="s">
        <v>719</v>
      </c>
      <c r="D358" s="142"/>
      <c r="E358" s="73"/>
      <c r="F358" s="73"/>
      <c r="G358" s="73"/>
      <c r="H358" s="73"/>
      <c r="I358" s="73"/>
      <c r="J358" s="175"/>
      <c r="K358" s="93"/>
    </row>
    <row r="359" spans="1:11" ht="15.75" x14ac:dyDescent="0.25">
      <c r="A359" s="88"/>
      <c r="B359" s="89"/>
      <c r="C359" s="90" t="s">
        <v>721</v>
      </c>
      <c r="D359" s="146"/>
      <c r="E359" s="32"/>
      <c r="F359" s="32"/>
      <c r="G359" s="32"/>
      <c r="H359" s="32"/>
      <c r="I359" s="32"/>
      <c r="J359" s="29"/>
      <c r="K359" s="93"/>
    </row>
    <row r="360" spans="1:11" ht="15.75" thickBot="1" x14ac:dyDescent="0.25">
      <c r="A360" s="178"/>
      <c r="B360" s="179"/>
      <c r="C360" s="180"/>
      <c r="D360" s="181"/>
      <c r="E360" s="182"/>
      <c r="F360" s="182"/>
      <c r="G360" s="182"/>
      <c r="H360" s="182"/>
      <c r="I360" s="182"/>
      <c r="J360" s="182"/>
      <c r="K360" s="200"/>
    </row>
    <row r="361" spans="1:11" ht="15.75" thickTop="1" x14ac:dyDescent="0.2">
      <c r="A361" s="53"/>
      <c r="B361" s="53"/>
      <c r="C361" s="54"/>
      <c r="D361" s="54"/>
      <c r="E361" s="51"/>
      <c r="F361" s="51"/>
      <c r="G361" s="51"/>
      <c r="H361" s="51"/>
      <c r="I361" s="51"/>
      <c r="J361" s="51"/>
      <c r="K361" s="51"/>
    </row>
    <row r="362" spans="1:11" x14ac:dyDescent="0.2">
      <c r="A362" s="53"/>
      <c r="B362" s="53"/>
      <c r="C362" s="54"/>
      <c r="D362" s="54"/>
      <c r="E362" s="51"/>
      <c r="F362" s="51"/>
      <c r="G362" s="51"/>
      <c r="H362" s="51"/>
      <c r="I362" s="51"/>
      <c r="J362" s="51"/>
      <c r="K362" s="51"/>
    </row>
    <row r="363" spans="1:11" x14ac:dyDescent="0.2">
      <c r="A363" s="53"/>
      <c r="B363" s="53"/>
      <c r="C363" s="54"/>
      <c r="D363" s="54"/>
      <c r="E363" s="51"/>
      <c r="F363" s="51"/>
      <c r="G363" s="51"/>
      <c r="H363" s="51"/>
      <c r="I363" s="51"/>
      <c r="J363" s="51"/>
      <c r="K363" s="51"/>
    </row>
    <row r="364" spans="1:11" ht="23.25" x14ac:dyDescent="0.35">
      <c r="A364" s="201"/>
      <c r="B364" s="237" t="s">
        <v>791</v>
      </c>
      <c r="C364" s="239" t="s">
        <v>792</v>
      </c>
      <c r="D364" s="262" t="s">
        <v>844</v>
      </c>
      <c r="E364" s="238"/>
      <c r="F364" s="263"/>
      <c r="G364" s="263"/>
      <c r="H364" s="263"/>
      <c r="I364" s="9"/>
      <c r="J364" s="9"/>
      <c r="K364" s="9"/>
    </row>
    <row r="365" spans="1:11" x14ac:dyDescent="0.2">
      <c r="A365" s="53"/>
      <c r="B365" s="53"/>
      <c r="C365" s="54"/>
      <c r="D365" s="54"/>
      <c r="E365" s="51"/>
      <c r="F365" s="51"/>
      <c r="G365" s="51"/>
      <c r="H365" s="51"/>
      <c r="I365" s="51"/>
      <c r="J365" s="51"/>
      <c r="K365" s="51"/>
    </row>
    <row r="366" spans="1:11" ht="16.5" thickBot="1" x14ac:dyDescent="0.3">
      <c r="A366" s="305"/>
      <c r="B366" s="305"/>
      <c r="C366" s="346"/>
      <c r="D366" s="346"/>
      <c r="E366" s="241"/>
      <c r="F366" s="241"/>
      <c r="G366" s="241"/>
      <c r="H366" s="241"/>
      <c r="I366" s="55" t="s">
        <v>208</v>
      </c>
      <c r="J366" s="55"/>
      <c r="K366" s="241"/>
    </row>
    <row r="367" spans="1:11" ht="16.5" thickTop="1" x14ac:dyDescent="0.25">
      <c r="A367" s="306"/>
      <c r="B367" s="317"/>
      <c r="C367" s="347"/>
      <c r="D367" s="373"/>
      <c r="E367" s="334"/>
      <c r="F367" s="335"/>
      <c r="G367" s="335"/>
      <c r="H367" s="335"/>
      <c r="I367" s="335"/>
      <c r="J367" s="339"/>
      <c r="K367" s="276"/>
    </row>
    <row r="368" spans="1:11" ht="20.25" x14ac:dyDescent="0.3">
      <c r="A368" s="307"/>
      <c r="B368" s="242"/>
      <c r="C368" s="345"/>
      <c r="D368" s="374"/>
      <c r="E368" s="336" t="s">
        <v>874</v>
      </c>
      <c r="F368" s="337"/>
      <c r="G368" s="337"/>
      <c r="H368" s="337"/>
      <c r="I368" s="337"/>
      <c r="J368" s="340"/>
      <c r="K368" s="277" t="s">
        <v>209</v>
      </c>
    </row>
    <row r="369" spans="1:11" ht="15.75" x14ac:dyDescent="0.25">
      <c r="A369" s="307"/>
      <c r="B369" s="242"/>
      <c r="C369" s="345"/>
      <c r="D369" s="374"/>
      <c r="E369" s="278"/>
      <c r="F369" s="279"/>
      <c r="G369" s="280"/>
      <c r="H369" s="281"/>
      <c r="I369" s="282" t="s">
        <v>210</v>
      </c>
      <c r="J369" s="282" t="s">
        <v>211</v>
      </c>
      <c r="K369" s="277" t="s">
        <v>212</v>
      </c>
    </row>
    <row r="370" spans="1:11" ht="15.75" x14ac:dyDescent="0.25">
      <c r="A370" s="329" t="s">
        <v>213</v>
      </c>
      <c r="B370" s="242"/>
      <c r="C370" s="345"/>
      <c r="D370" s="374"/>
      <c r="E370" s="283" t="s">
        <v>214</v>
      </c>
      <c r="F370" s="284" t="s">
        <v>215</v>
      </c>
      <c r="G370" s="288" t="s">
        <v>216</v>
      </c>
      <c r="H370" s="289" t="s">
        <v>217</v>
      </c>
      <c r="I370" s="285" t="s">
        <v>218</v>
      </c>
      <c r="J370" s="285" t="s">
        <v>219</v>
      </c>
      <c r="K370" s="277" t="s">
        <v>220</v>
      </c>
    </row>
    <row r="371" spans="1:11" ht="15.75" x14ac:dyDescent="0.25">
      <c r="A371" s="307"/>
      <c r="B371" s="242"/>
      <c r="C371" s="345"/>
      <c r="D371" s="374"/>
      <c r="E371" s="283" t="s">
        <v>221</v>
      </c>
      <c r="F371" s="284" t="s">
        <v>222</v>
      </c>
      <c r="G371" s="288"/>
      <c r="H371" s="289"/>
      <c r="I371" s="294" t="s">
        <v>223</v>
      </c>
      <c r="J371" s="285" t="s">
        <v>224</v>
      </c>
      <c r="K371" s="277" t="s">
        <v>225</v>
      </c>
    </row>
    <row r="372" spans="1:11" ht="16.5" thickBot="1" x14ac:dyDescent="0.3">
      <c r="A372" s="308"/>
      <c r="B372" s="243"/>
      <c r="C372" s="346"/>
      <c r="D372" s="375"/>
      <c r="E372" s="290"/>
      <c r="F372" s="291"/>
      <c r="G372" s="292"/>
      <c r="H372" s="293"/>
      <c r="I372" s="295" t="s">
        <v>226</v>
      </c>
      <c r="J372" s="286"/>
      <c r="K372" s="287" t="s">
        <v>228</v>
      </c>
    </row>
    <row r="373" spans="1:11" ht="15.75" thickTop="1" x14ac:dyDescent="0.2">
      <c r="A373" s="57"/>
      <c r="B373" s="58"/>
      <c r="C373" s="59"/>
      <c r="D373" s="60"/>
      <c r="E373" s="260" t="s">
        <v>229</v>
      </c>
      <c r="F373" s="260" t="s">
        <v>230</v>
      </c>
      <c r="G373" s="260" t="s">
        <v>231</v>
      </c>
      <c r="H373" s="260" t="s">
        <v>232</v>
      </c>
      <c r="I373" s="260" t="s">
        <v>233</v>
      </c>
      <c r="J373" s="260" t="s">
        <v>234</v>
      </c>
      <c r="K373" s="272"/>
    </row>
    <row r="374" spans="1:11" ht="15.75" x14ac:dyDescent="0.25">
      <c r="A374" s="69"/>
      <c r="B374" s="70" t="s">
        <v>830</v>
      </c>
      <c r="C374" s="77" t="s">
        <v>730</v>
      </c>
      <c r="D374" s="142"/>
      <c r="E374" s="73">
        <f>+E376+E385</f>
        <v>214545120.59820509</v>
      </c>
      <c r="F374" s="73">
        <f>F376+F385</f>
        <v>1500000</v>
      </c>
      <c r="G374" s="73">
        <f>G376+G385</f>
        <v>0</v>
      </c>
      <c r="H374" s="73">
        <f>H376+H385</f>
        <v>12500000</v>
      </c>
      <c r="I374" s="73">
        <v>0</v>
      </c>
      <c r="J374" s="199">
        <f>E374+F374+G374+H374</f>
        <v>228545120.59820509</v>
      </c>
      <c r="K374" s="197" t="e">
        <f>J374/J$141*100</f>
        <v>#REF!</v>
      </c>
    </row>
    <row r="375" spans="1:11" x14ac:dyDescent="0.2">
      <c r="A375" s="82"/>
      <c r="B375" s="94"/>
      <c r="C375" s="95"/>
      <c r="D375" s="145"/>
      <c r="E375" s="34"/>
      <c r="F375" s="34"/>
      <c r="G375" s="34"/>
      <c r="H375" s="34"/>
      <c r="I375" s="34"/>
      <c r="J375" s="34"/>
      <c r="K375" s="105"/>
    </row>
    <row r="376" spans="1:11" x14ac:dyDescent="0.2">
      <c r="A376" s="99">
        <v>500</v>
      </c>
      <c r="B376" s="100"/>
      <c r="C376" s="101" t="s">
        <v>732</v>
      </c>
      <c r="D376" s="149"/>
      <c r="E376" s="259">
        <f>+E378+E379+E380+E381+E383</f>
        <v>214545120.59820509</v>
      </c>
      <c r="F376" s="259">
        <v>1500000</v>
      </c>
      <c r="G376" s="259">
        <f>+G378+G379+G380+G381+G383</f>
        <v>0</v>
      </c>
      <c r="H376" s="259">
        <f>+H378+H379+H380+H381+H383</f>
        <v>12500000</v>
      </c>
      <c r="I376" s="259">
        <f>+I378+I379+I380+I381+I383</f>
        <v>0</v>
      </c>
      <c r="J376" s="31">
        <f>+E376+F376+G376+H376-I376</f>
        <v>228545120.59820509</v>
      </c>
      <c r="K376" s="103"/>
    </row>
    <row r="377" spans="1:11" x14ac:dyDescent="0.2">
      <c r="A377" s="82"/>
      <c r="B377" s="94"/>
      <c r="C377" s="95"/>
      <c r="D377" s="145"/>
      <c r="E377" s="203"/>
      <c r="F377" s="34"/>
      <c r="G377" s="34"/>
      <c r="H377" s="34"/>
      <c r="I377" s="34"/>
      <c r="J377" s="203"/>
      <c r="K377" s="105"/>
    </row>
    <row r="378" spans="1:11" x14ac:dyDescent="0.2">
      <c r="A378" s="99">
        <v>5000</v>
      </c>
      <c r="B378" s="100"/>
      <c r="C378" s="101" t="s">
        <v>734</v>
      </c>
      <c r="D378" s="149"/>
      <c r="E378" s="259">
        <v>0</v>
      </c>
      <c r="F378" s="259">
        <v>0</v>
      </c>
      <c r="G378" s="259">
        <v>0</v>
      </c>
      <c r="H378" s="259">
        <v>0</v>
      </c>
      <c r="I378" s="202"/>
      <c r="J378" s="202"/>
      <c r="K378" s="103"/>
    </row>
    <row r="379" spans="1:11" x14ac:dyDescent="0.2">
      <c r="A379" s="99">
        <v>5001</v>
      </c>
      <c r="B379" s="100"/>
      <c r="C379" s="101" t="s">
        <v>736</v>
      </c>
      <c r="D379" s="149"/>
      <c r="E379" s="259">
        <v>0</v>
      </c>
      <c r="F379" s="259">
        <v>0</v>
      </c>
      <c r="G379" s="259">
        <v>0</v>
      </c>
      <c r="H379" s="259">
        <v>12500000</v>
      </c>
      <c r="I379" s="202"/>
      <c r="J379" s="202"/>
      <c r="K379" s="103"/>
    </row>
    <row r="380" spans="1:11" x14ac:dyDescent="0.2">
      <c r="A380" s="99">
        <v>5002</v>
      </c>
      <c r="B380" s="100"/>
      <c r="C380" s="101" t="s">
        <v>738</v>
      </c>
      <c r="D380" s="149"/>
      <c r="E380" s="259">
        <v>0</v>
      </c>
      <c r="F380" s="259">
        <v>0</v>
      </c>
      <c r="G380" s="259">
        <v>0</v>
      </c>
      <c r="H380" s="259">
        <v>0</v>
      </c>
      <c r="I380" s="202"/>
      <c r="J380" s="202"/>
      <c r="K380" s="103"/>
    </row>
    <row r="381" spans="1:11" x14ac:dyDescent="0.2">
      <c r="A381" s="99">
        <v>5003</v>
      </c>
      <c r="B381" s="100"/>
      <c r="C381" s="101" t="s">
        <v>740</v>
      </c>
      <c r="D381" s="149"/>
      <c r="E381" s="259">
        <v>0</v>
      </c>
      <c r="F381" s="259">
        <v>0</v>
      </c>
      <c r="G381" s="259">
        <v>0</v>
      </c>
      <c r="H381" s="259">
        <v>0</v>
      </c>
      <c r="I381" s="202"/>
      <c r="J381" s="202"/>
      <c r="K381" s="103"/>
    </row>
    <row r="382" spans="1:11" x14ac:dyDescent="0.2">
      <c r="A382" s="106">
        <v>500301</v>
      </c>
      <c r="B382" s="107"/>
      <c r="C382" s="108" t="s">
        <v>742</v>
      </c>
      <c r="D382" s="149"/>
      <c r="E382" s="259"/>
      <c r="F382" s="259"/>
      <c r="G382" s="259"/>
      <c r="H382" s="259">
        <v>0</v>
      </c>
      <c r="I382" s="202"/>
      <c r="J382" s="202"/>
      <c r="K382" s="103"/>
    </row>
    <row r="383" spans="1:11" x14ac:dyDescent="0.2">
      <c r="A383" s="99">
        <v>5004</v>
      </c>
      <c r="B383" s="100"/>
      <c r="C383" s="101" t="s">
        <v>744</v>
      </c>
      <c r="D383" s="149"/>
      <c r="E383" s="259">
        <v>214545120.59820509</v>
      </c>
      <c r="F383" s="259">
        <v>0</v>
      </c>
      <c r="G383" s="259">
        <v>0</v>
      </c>
      <c r="H383" s="259">
        <v>0</v>
      </c>
      <c r="I383" s="202"/>
      <c r="J383" s="202"/>
      <c r="K383" s="103"/>
    </row>
    <row r="384" spans="1:11" x14ac:dyDescent="0.2">
      <c r="A384" s="82"/>
      <c r="B384" s="94"/>
      <c r="C384" s="95"/>
      <c r="D384" s="145"/>
      <c r="E384" s="203"/>
      <c r="F384" s="34"/>
      <c r="G384" s="34"/>
      <c r="H384" s="34"/>
      <c r="I384" s="34"/>
      <c r="J384" s="203"/>
      <c r="K384" s="105"/>
    </row>
    <row r="385" spans="1:11" x14ac:dyDescent="0.2">
      <c r="A385" s="99">
        <v>501</v>
      </c>
      <c r="B385" s="100"/>
      <c r="C385" s="101" t="s">
        <v>746</v>
      </c>
      <c r="D385" s="149"/>
      <c r="E385" s="259">
        <f>+E387+E388+E389+E390+E391</f>
        <v>0</v>
      </c>
      <c r="F385" s="259">
        <f>+F387+F388+F389+F390+F391</f>
        <v>0</v>
      </c>
      <c r="G385" s="259">
        <f>+G387+G388+G389+G390+G391</f>
        <v>0</v>
      </c>
      <c r="H385" s="259">
        <f>+H387+H388+H389+H390+H391</f>
        <v>0</v>
      </c>
      <c r="I385" s="259">
        <f>+I387+I388+I389+I390+I391</f>
        <v>0</v>
      </c>
      <c r="J385" s="259">
        <f>+E385+F385+G385+H385-I385</f>
        <v>0</v>
      </c>
      <c r="K385" s="103"/>
    </row>
    <row r="386" spans="1:11" x14ac:dyDescent="0.2">
      <c r="A386" s="82"/>
      <c r="B386" s="94"/>
      <c r="C386" s="95"/>
      <c r="D386" s="145"/>
      <c r="E386" s="86"/>
      <c r="F386" s="34"/>
      <c r="G386" s="34"/>
      <c r="H386" s="34"/>
      <c r="I386" s="34"/>
      <c r="J386" s="34"/>
      <c r="K386" s="105"/>
    </row>
    <row r="387" spans="1:11" x14ac:dyDescent="0.2">
      <c r="A387" s="99">
        <v>5010</v>
      </c>
      <c r="B387" s="100"/>
      <c r="C387" s="101" t="s">
        <v>748</v>
      </c>
      <c r="D387" s="149"/>
      <c r="E387" s="202"/>
      <c r="F387" s="202"/>
      <c r="G387" s="202"/>
      <c r="H387" s="202"/>
      <c r="I387" s="202"/>
      <c r="J387" s="202"/>
      <c r="K387" s="103"/>
    </row>
    <row r="388" spans="1:11" x14ac:dyDescent="0.2">
      <c r="A388" s="99">
        <v>5011</v>
      </c>
      <c r="B388" s="100"/>
      <c r="C388" s="101" t="s">
        <v>750</v>
      </c>
      <c r="D388" s="149"/>
      <c r="E388" s="202"/>
      <c r="F388" s="202"/>
      <c r="G388" s="202"/>
      <c r="H388" s="202"/>
      <c r="I388" s="202"/>
      <c r="J388" s="202"/>
      <c r="K388" s="103"/>
    </row>
    <row r="389" spans="1:11" x14ac:dyDescent="0.2">
      <c r="A389" s="99">
        <v>5012</v>
      </c>
      <c r="B389" s="100"/>
      <c r="C389" s="101" t="s">
        <v>752</v>
      </c>
      <c r="D389" s="149"/>
      <c r="E389" s="202"/>
      <c r="F389" s="202"/>
      <c r="G389" s="202"/>
      <c r="H389" s="202"/>
      <c r="I389" s="202"/>
      <c r="J389" s="202"/>
      <c r="K389" s="103"/>
    </row>
    <row r="390" spans="1:11" x14ac:dyDescent="0.2">
      <c r="A390" s="99">
        <v>5013</v>
      </c>
      <c r="B390" s="100"/>
      <c r="C390" s="101" t="s">
        <v>754</v>
      </c>
      <c r="D390" s="149"/>
      <c r="E390" s="202"/>
      <c r="F390" s="202"/>
      <c r="G390" s="202"/>
      <c r="H390" s="202"/>
      <c r="I390" s="202"/>
      <c r="J390" s="202"/>
      <c r="K390" s="103"/>
    </row>
    <row r="391" spans="1:11" x14ac:dyDescent="0.2">
      <c r="A391" s="99">
        <v>5014</v>
      </c>
      <c r="B391" s="100"/>
      <c r="C391" s="101" t="s">
        <v>744</v>
      </c>
      <c r="D391" s="149"/>
      <c r="E391" s="202"/>
      <c r="F391" s="202"/>
      <c r="G391" s="202"/>
      <c r="H391" s="202"/>
      <c r="I391" s="202"/>
      <c r="J391" s="202"/>
      <c r="K391" s="103"/>
    </row>
    <row r="392" spans="1:11" ht="15.75" thickBot="1" x14ac:dyDescent="0.25">
      <c r="A392" s="207"/>
      <c r="B392" s="208"/>
      <c r="C392" s="209"/>
      <c r="D392" s="160"/>
      <c r="E392" s="161"/>
      <c r="F392" s="161"/>
      <c r="G392" s="161"/>
      <c r="H392" s="161"/>
      <c r="I392" s="161"/>
      <c r="J392" s="161"/>
      <c r="K392" s="166"/>
    </row>
    <row r="393" spans="1:11" ht="15.75" thickTop="1" x14ac:dyDescent="0.2">
      <c r="A393" s="135"/>
      <c r="B393" s="136"/>
      <c r="C393" s="137"/>
      <c r="D393" s="163"/>
      <c r="E393" s="164"/>
      <c r="F393" s="164"/>
      <c r="G393" s="164"/>
      <c r="H393" s="164"/>
      <c r="I393" s="66"/>
      <c r="J393" s="164"/>
      <c r="K393" s="198"/>
    </row>
    <row r="394" spans="1:11" ht="15.75" x14ac:dyDescent="0.25">
      <c r="A394" s="69"/>
      <c r="B394" s="70" t="s">
        <v>757</v>
      </c>
      <c r="C394" s="77" t="s">
        <v>758</v>
      </c>
      <c r="D394" s="142"/>
      <c r="E394" s="73">
        <f t="shared" ref="E394:J394" si="35">E396+E406</f>
        <v>176705054</v>
      </c>
      <c r="F394" s="73">
        <f t="shared" si="35"/>
        <v>2578957.4179999996</v>
      </c>
      <c r="G394" s="73">
        <f t="shared" si="35"/>
        <v>0</v>
      </c>
      <c r="H394" s="73">
        <f t="shared" si="35"/>
        <v>0</v>
      </c>
      <c r="I394" s="73">
        <f t="shared" si="35"/>
        <v>0</v>
      </c>
      <c r="J394" s="199">
        <f t="shared" si="35"/>
        <v>179284011.41800001</v>
      </c>
      <c r="K394" s="197" t="e">
        <f>J394/J$141*100</f>
        <v>#REF!</v>
      </c>
    </row>
    <row r="395" spans="1:11" x14ac:dyDescent="0.2">
      <c r="A395" s="82"/>
      <c r="B395" s="94"/>
      <c r="C395" s="95"/>
      <c r="D395" s="145"/>
      <c r="E395" s="34"/>
      <c r="F395" s="34"/>
      <c r="G395" s="34"/>
      <c r="H395" s="34"/>
      <c r="I395" s="34"/>
      <c r="J395" s="34"/>
      <c r="K395" s="105"/>
    </row>
    <row r="396" spans="1:11" x14ac:dyDescent="0.2">
      <c r="A396" s="99">
        <v>550</v>
      </c>
      <c r="B396" s="100"/>
      <c r="C396" s="101" t="s">
        <v>760</v>
      </c>
      <c r="D396" s="149"/>
      <c r="E396" s="31">
        <f>+E398+E399+E400+E401+E403+E404</f>
        <v>155805709</v>
      </c>
      <c r="F396" s="31">
        <v>2578957.4179999996</v>
      </c>
      <c r="G396" s="31">
        <f>+G398+G399+G400+G401+G403+G404</f>
        <v>0</v>
      </c>
      <c r="H396" s="31">
        <f>+H398+H399+H400+H401+H403+H404</f>
        <v>0</v>
      </c>
      <c r="I396" s="31">
        <f>+I398+I399+I400+I401+I403+I404</f>
        <v>0</v>
      </c>
      <c r="J396" s="31">
        <f>E396+F396+G396+H396-I396</f>
        <v>158384666.41800001</v>
      </c>
      <c r="K396" s="103" t="e">
        <f>J396/J$141*100</f>
        <v>#REF!</v>
      </c>
    </row>
    <row r="397" spans="1:11" x14ac:dyDescent="0.2">
      <c r="A397" s="82"/>
      <c r="B397" s="94"/>
      <c r="C397" s="95"/>
      <c r="D397" s="145"/>
      <c r="E397" s="34"/>
      <c r="F397" s="34"/>
      <c r="G397" s="34"/>
      <c r="H397" s="34"/>
      <c r="I397" s="34"/>
      <c r="J397" s="34"/>
      <c r="K397" s="150"/>
    </row>
    <row r="398" spans="1:11" x14ac:dyDescent="0.2">
      <c r="A398" s="99">
        <v>5500</v>
      </c>
      <c r="B398" s="100"/>
      <c r="C398" s="101" t="s">
        <v>762</v>
      </c>
      <c r="D398" s="149"/>
      <c r="E398" s="31">
        <v>0</v>
      </c>
      <c r="F398" s="31"/>
      <c r="G398" s="31">
        <v>0</v>
      </c>
      <c r="H398" s="31">
        <v>0</v>
      </c>
      <c r="I398" s="31">
        <v>0</v>
      </c>
      <c r="J398" s="31">
        <f>E398+F398+G398+H398</f>
        <v>0</v>
      </c>
      <c r="K398" s="103" t="e">
        <f>J398/J$141*100</f>
        <v>#REF!</v>
      </c>
    </row>
    <row r="399" spans="1:11" x14ac:dyDescent="0.2">
      <c r="A399" s="99">
        <v>5501</v>
      </c>
      <c r="B399" s="100"/>
      <c r="C399" s="101" t="s">
        <v>764</v>
      </c>
      <c r="D399" s="149"/>
      <c r="E399" s="31">
        <v>23419358</v>
      </c>
      <c r="F399" s="31"/>
      <c r="G399" s="31"/>
      <c r="H399" s="31">
        <v>0</v>
      </c>
      <c r="I399" s="31">
        <v>0</v>
      </c>
      <c r="J399" s="31">
        <f>E399+F399+G399+H399</f>
        <v>23419358</v>
      </c>
      <c r="K399" s="103" t="e">
        <f>J399/J$141*100</f>
        <v>#REF!</v>
      </c>
    </row>
    <row r="400" spans="1:11" x14ac:dyDescent="0.2">
      <c r="A400" s="99">
        <v>5502</v>
      </c>
      <c r="B400" s="100"/>
      <c r="C400" s="101" t="s">
        <v>766</v>
      </c>
      <c r="D400" s="149"/>
      <c r="E400" s="31">
        <v>0</v>
      </c>
      <c r="F400" s="31"/>
      <c r="G400" s="31">
        <v>0</v>
      </c>
      <c r="H400" s="31">
        <v>0</v>
      </c>
      <c r="I400" s="31">
        <v>0</v>
      </c>
      <c r="J400" s="31">
        <f>E400+F400+G400+H400</f>
        <v>0</v>
      </c>
      <c r="K400" s="103" t="e">
        <f>J400/J$141*100</f>
        <v>#REF!</v>
      </c>
    </row>
    <row r="401" spans="1:11" x14ac:dyDescent="0.2">
      <c r="A401" s="99">
        <v>5503</v>
      </c>
      <c r="B401" s="100"/>
      <c r="C401" s="101" t="s">
        <v>772</v>
      </c>
      <c r="D401" s="149"/>
      <c r="E401" s="31">
        <v>0</v>
      </c>
      <c r="F401" s="31"/>
      <c r="G401" s="31">
        <v>0</v>
      </c>
      <c r="H401" s="31">
        <v>0</v>
      </c>
      <c r="I401" s="31">
        <v>0</v>
      </c>
      <c r="J401" s="31">
        <f>E401+F401+G401+H401</f>
        <v>0</v>
      </c>
      <c r="K401" s="103" t="e">
        <f>J401/J$141*100</f>
        <v>#REF!</v>
      </c>
    </row>
    <row r="402" spans="1:11" x14ac:dyDescent="0.2">
      <c r="A402" s="210"/>
      <c r="B402" s="107"/>
      <c r="C402" s="154" t="s">
        <v>831</v>
      </c>
      <c r="D402" s="153"/>
      <c r="E402" s="109">
        <v>0</v>
      </c>
      <c r="F402" s="109">
        <v>0</v>
      </c>
      <c r="G402" s="109">
        <v>0</v>
      </c>
      <c r="H402" s="109">
        <v>0</v>
      </c>
      <c r="I402" s="109"/>
      <c r="J402" s="109">
        <v>0</v>
      </c>
      <c r="K402" s="103"/>
    </row>
    <row r="403" spans="1:11" x14ac:dyDescent="0.2">
      <c r="A403" s="106">
        <v>5505</v>
      </c>
      <c r="B403" s="107"/>
      <c r="C403" s="108" t="s">
        <v>802</v>
      </c>
      <c r="D403" s="153"/>
      <c r="E403" s="109">
        <v>0</v>
      </c>
      <c r="F403" s="109">
        <v>0</v>
      </c>
      <c r="G403" s="109">
        <v>0</v>
      </c>
      <c r="H403" s="109">
        <v>0</v>
      </c>
      <c r="I403" s="109">
        <f>+E403</f>
        <v>0</v>
      </c>
      <c r="J403" s="109">
        <f>E403+F403+G403+H403-I403</f>
        <v>0</v>
      </c>
      <c r="K403" s="103"/>
    </row>
    <row r="404" spans="1:11" x14ac:dyDescent="0.2">
      <c r="A404" s="99">
        <v>5504</v>
      </c>
      <c r="B404" s="100"/>
      <c r="C404" s="101" t="s">
        <v>775</v>
      </c>
      <c r="D404" s="149"/>
      <c r="E404" s="31">
        <v>132386351</v>
      </c>
      <c r="F404" s="31"/>
      <c r="G404" s="31">
        <v>0</v>
      </c>
      <c r="H404" s="31">
        <v>0</v>
      </c>
      <c r="I404" s="31">
        <v>0</v>
      </c>
      <c r="J404" s="31">
        <f>E404+F404+G404+H404</f>
        <v>132386351</v>
      </c>
      <c r="K404" s="103" t="e">
        <f>J404/J$141*100</f>
        <v>#REF!</v>
      </c>
    </row>
    <row r="405" spans="1:11" x14ac:dyDescent="0.2">
      <c r="A405" s="82"/>
      <c r="B405" s="94"/>
      <c r="C405" s="95"/>
      <c r="D405" s="145"/>
      <c r="E405" s="34"/>
      <c r="F405" s="34"/>
      <c r="G405" s="34"/>
      <c r="H405" s="34"/>
      <c r="I405" s="34"/>
      <c r="J405" s="34"/>
      <c r="K405" s="105"/>
    </row>
    <row r="406" spans="1:11" x14ac:dyDescent="0.2">
      <c r="A406" s="99">
        <v>551</v>
      </c>
      <c r="B406" s="100"/>
      <c r="C406" s="101" t="s">
        <v>777</v>
      </c>
      <c r="D406" s="149"/>
      <c r="E406" s="31">
        <f>SUM(E408:E412)</f>
        <v>20899345</v>
      </c>
      <c r="F406" s="31">
        <f>SUM(F408:F412)</f>
        <v>0</v>
      </c>
      <c r="G406" s="31">
        <f>SUM(G408:G412)</f>
        <v>0</v>
      </c>
      <c r="H406" s="31">
        <f>SUM(H408:H412)</f>
        <v>0</v>
      </c>
      <c r="I406" s="31">
        <f>SUM(I408:I411)</f>
        <v>0</v>
      </c>
      <c r="J406" s="31">
        <f>E406+F406+G406+H406</f>
        <v>20899345</v>
      </c>
      <c r="K406" s="103" t="e">
        <f>J406/J$141*100</f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5510</v>
      </c>
      <c r="B408" s="100"/>
      <c r="C408" s="101" t="s">
        <v>779</v>
      </c>
      <c r="D408" s="149"/>
      <c r="E408" s="31">
        <v>9805588</v>
      </c>
      <c r="F408" s="31">
        <v>0</v>
      </c>
      <c r="G408" s="31">
        <v>0</v>
      </c>
      <c r="H408" s="31">
        <v>0</v>
      </c>
      <c r="I408" s="31">
        <v>0</v>
      </c>
      <c r="J408" s="31">
        <f>E408+F408+G408+H408</f>
        <v>9805588</v>
      </c>
      <c r="K408" s="103" t="e">
        <f>J408/J$141*100</f>
        <v>#REF!</v>
      </c>
    </row>
    <row r="409" spans="1:11" x14ac:dyDescent="0.2">
      <c r="A409" s="99">
        <v>5511</v>
      </c>
      <c r="B409" s="100"/>
      <c r="C409" s="101" t="s">
        <v>781</v>
      </c>
      <c r="D409" s="149"/>
      <c r="E409" s="31">
        <v>807695</v>
      </c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807695</v>
      </c>
      <c r="K409" s="103" t="e">
        <f>J409/J$141*100</f>
        <v>#REF!</v>
      </c>
    </row>
    <row r="410" spans="1:11" x14ac:dyDescent="0.2">
      <c r="A410" s="99">
        <v>5512</v>
      </c>
      <c r="B410" s="100"/>
      <c r="C410" s="101" t="s">
        <v>783</v>
      </c>
      <c r="D410" s="149"/>
      <c r="E410" s="31">
        <v>7150110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7150110</v>
      </c>
      <c r="K410" s="103" t="e">
        <f>J410/J$141*100</f>
        <v>#REF!</v>
      </c>
    </row>
    <row r="411" spans="1:11" x14ac:dyDescent="0.2">
      <c r="A411" s="99">
        <v>5513</v>
      </c>
      <c r="B411" s="100"/>
      <c r="C411" s="101" t="s">
        <v>785</v>
      </c>
      <c r="D411" s="149"/>
      <c r="E411" s="31">
        <v>0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J411/J$141*100</f>
        <v>#REF!</v>
      </c>
    </row>
    <row r="412" spans="1:11" x14ac:dyDescent="0.2">
      <c r="A412" s="99">
        <v>5514</v>
      </c>
      <c r="B412" s="100"/>
      <c r="C412" s="101" t="s">
        <v>836</v>
      </c>
      <c r="D412" s="149"/>
      <c r="E412" s="31">
        <v>3135952</v>
      </c>
      <c r="F412" s="31">
        <v>0</v>
      </c>
      <c r="G412" s="31">
        <v>0</v>
      </c>
      <c r="H412" s="31">
        <v>0</v>
      </c>
      <c r="I412" s="31">
        <v>0</v>
      </c>
      <c r="J412" s="31">
        <f>E412+F412+G412+H412</f>
        <v>3135952</v>
      </c>
      <c r="K412" s="103" t="e">
        <f>J412/J$141*100</f>
        <v>#REF!</v>
      </c>
    </row>
    <row r="413" spans="1:11" ht="15.75" thickBot="1" x14ac:dyDescent="0.25">
      <c r="A413" s="120"/>
      <c r="B413" s="121"/>
      <c r="C413" s="122"/>
      <c r="D413" s="160"/>
      <c r="E413" s="161"/>
      <c r="F413" s="161"/>
      <c r="G413" s="161"/>
      <c r="H413" s="161"/>
      <c r="I413" s="161"/>
      <c r="J413" s="161"/>
      <c r="K413" s="162"/>
    </row>
    <row r="414" spans="1:11" ht="16.5" thickTop="1" x14ac:dyDescent="0.25">
      <c r="A414" s="211"/>
      <c r="B414" s="212" t="s">
        <v>803</v>
      </c>
      <c r="C414" s="213" t="s">
        <v>789</v>
      </c>
      <c r="D414" s="214"/>
      <c r="E414" s="215"/>
      <c r="F414" s="215"/>
      <c r="G414" s="215"/>
      <c r="H414" s="215"/>
      <c r="I414" s="215"/>
      <c r="J414" s="215"/>
      <c r="K414" s="216"/>
    </row>
    <row r="415" spans="1:11" ht="16.5" thickBot="1" x14ac:dyDescent="0.3">
      <c r="A415" s="217"/>
      <c r="B415" s="218"/>
      <c r="C415" s="219" t="s">
        <v>804</v>
      </c>
      <c r="D415" s="220"/>
      <c r="E415" s="221">
        <f t="shared" ref="E415:J415" si="36">E22+E307+E374-E144-E329-E394</f>
        <v>-20000002</v>
      </c>
      <c r="F415" s="221">
        <f t="shared" si="36"/>
        <v>4168715.0649061864</v>
      </c>
      <c r="G415" s="221">
        <f t="shared" si="36"/>
        <v>61732.522165179253</v>
      </c>
      <c r="H415" s="221">
        <f t="shared" si="36"/>
        <v>233494.55945914984</v>
      </c>
      <c r="I415" s="221">
        <f t="shared" si="36"/>
        <v>5.9604644775390625E-8</v>
      </c>
      <c r="J415" s="222">
        <f t="shared" si="36"/>
        <v>-15536059.853469551</v>
      </c>
      <c r="K415" s="223" t="e">
        <f>J415/J$141*100</f>
        <v>#REF!</v>
      </c>
    </row>
    <row r="416" spans="1:11" ht="16.5" thickTop="1" x14ac:dyDescent="0.25">
      <c r="A416" s="211"/>
      <c r="B416" s="212"/>
      <c r="C416" s="213"/>
      <c r="D416" s="214"/>
      <c r="E416" s="215"/>
      <c r="F416" s="215"/>
      <c r="G416" s="215"/>
      <c r="H416" s="215"/>
      <c r="I416" s="215"/>
      <c r="J416" s="224"/>
      <c r="K416" s="225"/>
    </row>
    <row r="417" spans="1:11" ht="16.5" thickBot="1" x14ac:dyDescent="0.3">
      <c r="A417" s="226"/>
      <c r="B417" s="227" t="s">
        <v>787</v>
      </c>
      <c r="C417" s="228" t="s">
        <v>805</v>
      </c>
      <c r="D417" s="229"/>
      <c r="E417" s="230">
        <f t="shared" ref="E417:J417" si="37">E357+E374-E394-E415</f>
        <v>54779438.59820509</v>
      </c>
      <c r="F417" s="230">
        <f t="shared" si="37"/>
        <v>-2000991.7765061855</v>
      </c>
      <c r="G417" s="230">
        <f t="shared" si="37"/>
        <v>0.47783482074737549</v>
      </c>
      <c r="H417" s="230">
        <f t="shared" si="37"/>
        <v>12266505.44054085</v>
      </c>
      <c r="I417" s="230">
        <f t="shared" si="37"/>
        <v>-5.9604644775390625E-8</v>
      </c>
      <c r="J417" s="231">
        <f t="shared" si="37"/>
        <v>65044952.740074635</v>
      </c>
      <c r="K417" s="232" t="e">
        <f>J417/J$141*100</f>
        <v>#REF!</v>
      </c>
    </row>
    <row r="418" spans="1:11" ht="15.75" thickTop="1" x14ac:dyDescent="0.2">
      <c r="A418" s="53"/>
      <c r="B418" s="53"/>
      <c r="C418" s="54"/>
      <c r="D418" s="54"/>
      <c r="E418" s="51"/>
      <c r="F418" s="51"/>
      <c r="G418" s="51"/>
      <c r="H418" s="51"/>
      <c r="I418" s="51"/>
      <c r="J418" s="51"/>
      <c r="K418" s="51"/>
    </row>
  </sheetData>
  <phoneticPr fontId="0" type="noConversion"/>
  <pageMargins left="0.34" right="0.41" top="0.65" bottom="0.63" header="0.5" footer="0.5"/>
  <pageSetup paperSize="9" scale="50" fitToHeight="0" orientation="portrait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K417"/>
  <sheetViews>
    <sheetView topLeftCell="A129" zoomScale="60" workbookViewId="0">
      <selection activeCell="I129" sqref="I129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881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 t="s">
        <v>880</v>
      </c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E25+E100+E118+E129+1</f>
        <v>1500498740.2684152</v>
      </c>
      <c r="F22" s="73">
        <f>F25+F100+F118+F129</f>
        <v>309049421.92020488</v>
      </c>
      <c r="G22" s="73">
        <f>G25+G100+G118+G129+2</f>
        <v>843013877.79102862</v>
      </c>
      <c r="H22" s="73">
        <f>H25+H100+H118+H129</f>
        <v>399188522.98400003</v>
      </c>
      <c r="I22" s="74">
        <f>I25+I100+I118+I129</f>
        <v>489902941.78637815</v>
      </c>
      <c r="J22" s="75">
        <f>E22+F22+G22+H22-I22-3</f>
        <v>2561847618.1772709</v>
      </c>
      <c r="K22" s="76" t="e">
        <f>J22/J$140*100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1477731219.4880753</v>
      </c>
      <c r="F25" s="32">
        <f t="shared" si="0"/>
        <v>230574443.6899029</v>
      </c>
      <c r="G25" s="32">
        <f t="shared" si="0"/>
        <v>592037293.73636305</v>
      </c>
      <c r="H25" s="32">
        <f t="shared" si="0"/>
        <v>326015137.98400003</v>
      </c>
      <c r="I25" s="32">
        <f t="shared" si="0"/>
        <v>107405534.93619648</v>
      </c>
      <c r="J25" s="32">
        <f t="shared" si="0"/>
        <v>2518952559.9621444</v>
      </c>
      <c r="K25" s="92" t="e">
        <f>J25/J$140*100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1377138340.3287363</v>
      </c>
      <c r="F28" s="32">
        <f t="shared" si="1"/>
        <v>185465062.40284237</v>
      </c>
      <c r="G28" s="32">
        <f t="shared" si="1"/>
        <v>586559685.78855109</v>
      </c>
      <c r="H28" s="32">
        <f t="shared" si="1"/>
        <v>321893132.98400003</v>
      </c>
      <c r="I28" s="32">
        <f t="shared" si="1"/>
        <v>107405534.93619648</v>
      </c>
      <c r="J28" s="32">
        <f t="shared" si="1"/>
        <v>2363650686.5679331</v>
      </c>
      <c r="K28" s="92" t="e">
        <f>J28/J$140*100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346303861</v>
      </c>
      <c r="F31" s="31">
        <f t="shared" si="2"/>
        <v>133609379.92307691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479913240.92307693</v>
      </c>
      <c r="K31" s="103" t="e">
        <f>J31/J$140*100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247902161</v>
      </c>
      <c r="F32" s="31">
        <v>133609379.92307691</v>
      </c>
      <c r="G32" s="31">
        <v>0</v>
      </c>
      <c r="H32" s="31">
        <v>0</v>
      </c>
      <c r="I32" s="31"/>
      <c r="J32" s="31">
        <f>E32+F32+G32+H32</f>
        <v>381511540.92307693</v>
      </c>
      <c r="K32" s="103" t="e">
        <f>J32/J$140*100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98401700</v>
      </c>
      <c r="F33" s="31">
        <v>0</v>
      </c>
      <c r="G33" s="31">
        <v>0</v>
      </c>
      <c r="H33" s="31">
        <v>0</v>
      </c>
      <c r="I33" s="31"/>
      <c r="J33" s="31">
        <f>E33+F33+G33+H33</f>
        <v>98401700</v>
      </c>
      <c r="K33" s="103" t="e">
        <f>J33/J$140*100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9697900</v>
      </c>
      <c r="F36" s="31">
        <f t="shared" si="3"/>
        <v>0</v>
      </c>
      <c r="G36" s="31">
        <f t="shared" si="3"/>
        <v>586559685.78855109</v>
      </c>
      <c r="H36" s="31">
        <f t="shared" si="3"/>
        <v>321893132.98400003</v>
      </c>
      <c r="I36" s="31">
        <f>+I38</f>
        <v>107405534.93619648</v>
      </c>
      <c r="J36" s="31">
        <f t="shared" si="3"/>
        <v>810745183.83635461</v>
      </c>
      <c r="K36" s="103" t="e">
        <f>J36/J$140*100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5328800</v>
      </c>
      <c r="F37" s="31">
        <v>0</v>
      </c>
      <c r="G37" s="31">
        <v>341347171.01203001</v>
      </c>
      <c r="H37" s="31">
        <v>148172709</v>
      </c>
      <c r="I37" s="31"/>
      <c r="J37" s="31">
        <f>E37+F37+G37+H37</f>
        <v>494848680.01203001</v>
      </c>
      <c r="K37" s="103" t="e">
        <f>J37/J$140*100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3595640</v>
      </c>
      <c r="F38" s="109">
        <v>0</v>
      </c>
      <c r="G38" s="109">
        <v>201653917.09652773</v>
      </c>
      <c r="H38" s="109">
        <v>150210162</v>
      </c>
      <c r="I38" s="427">
        <f>+I161</f>
        <v>107405534.93619648</v>
      </c>
      <c r="J38" s="109">
        <f>E38+F38+G38+H38-I38</f>
        <v>248054184.16033122</v>
      </c>
      <c r="K38" s="103" t="e">
        <f>J38/J$140*100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559340</v>
      </c>
      <c r="F39" s="31">
        <v>0</v>
      </c>
      <c r="G39" s="31">
        <v>29790135.72834</v>
      </c>
      <c r="H39" s="31">
        <v>17167435</v>
      </c>
      <c r="I39" s="31"/>
      <c r="J39" s="31">
        <f>E39+F39+G39+H39</f>
        <v>47516910.72834</v>
      </c>
      <c r="K39" s="103" t="e">
        <f>J39/J$140*100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214120</v>
      </c>
      <c r="F40" s="31">
        <v>0</v>
      </c>
      <c r="G40" s="31">
        <v>13768461.95165338</v>
      </c>
      <c r="H40" s="31">
        <v>6342826.9840000002</v>
      </c>
      <c r="I40" s="31"/>
      <c r="J40" s="31">
        <f>E40+F40+G40+H40</f>
        <v>20325408.935653381</v>
      </c>
      <c r="K40" s="103" t="e">
        <f>J40/J$140*100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121870520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121870520</v>
      </c>
      <c r="K42" s="103" t="e">
        <f>J42/J$140*100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116452820</v>
      </c>
      <c r="F43" s="31">
        <v>0</v>
      </c>
      <c r="G43" s="31">
        <v>0</v>
      </c>
      <c r="H43" s="31">
        <v>0</v>
      </c>
      <c r="I43" s="31"/>
      <c r="J43" s="31">
        <f>E43+F43+G43+H43</f>
        <v>116452820</v>
      </c>
      <c r="K43" s="103" t="e">
        <f>J43/J$140*100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5417700</v>
      </c>
      <c r="F44" s="31">
        <v>0</v>
      </c>
      <c r="G44" s="31">
        <v>0</v>
      </c>
      <c r="H44" s="31">
        <v>0</v>
      </c>
      <c r="I44" s="31"/>
      <c r="J44" s="31">
        <f>E44+F44+G44+H44</f>
        <v>5417700</v>
      </c>
      <c r="K44" s="103" t="e">
        <f>J44/J$140*100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2139100</v>
      </c>
      <c r="F46" s="31">
        <f t="shared" si="5"/>
        <v>36476766.754426725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38615866.754426725</v>
      </c>
      <c r="K46" s="103" t="e">
        <f>J46/J$140*100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>
        <v>0</v>
      </c>
      <c r="F47" s="31">
        <v>27305368.813246727</v>
      </c>
      <c r="G47" s="31">
        <v>0</v>
      </c>
      <c r="H47" s="31">
        <v>0</v>
      </c>
      <c r="I47" s="31"/>
      <c r="J47" s="31">
        <f>E47+F47+G47+H47</f>
        <v>27305368.813246727</v>
      </c>
      <c r="K47" s="103" t="e">
        <f>J47/J$140*100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>
        <v>0</v>
      </c>
      <c r="F48" s="31">
        <v>5118.4655360000006</v>
      </c>
      <c r="G48" s="31">
        <v>0</v>
      </c>
      <c r="H48" s="31">
        <v>0</v>
      </c>
      <c r="I48" s="31"/>
      <c r="J48" s="31">
        <f>E48+F48+G48+H48</f>
        <v>5118.4655360000006</v>
      </c>
      <c r="K48" s="103" t="e">
        <f>J48/J$140*100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>
        <v>0</v>
      </c>
      <c r="F49" s="31">
        <v>800163.54243540007</v>
      </c>
      <c r="G49" s="31">
        <v>0</v>
      </c>
      <c r="H49" s="31">
        <v>0</v>
      </c>
      <c r="I49" s="31"/>
      <c r="J49" s="31">
        <f>E49+F49+G49+H49</f>
        <v>800163.54243540007</v>
      </c>
      <c r="K49" s="103" t="e">
        <f>J49/J$140*100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>
        <v>2139100</v>
      </c>
      <c r="F50" s="31">
        <v>8366115.9332086006</v>
      </c>
      <c r="G50" s="31">
        <v>0</v>
      </c>
      <c r="H50" s="31">
        <v>0</v>
      </c>
      <c r="I50" s="31"/>
      <c r="J50" s="31">
        <f>E50+F50+G50+H50</f>
        <v>10505215.9332086</v>
      </c>
      <c r="K50" s="103" t="e">
        <f>J50/J$140*100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862456219.82267511</v>
      </c>
      <c r="F52" s="31">
        <f>SUM(F53:F61)</f>
        <v>15377706.444738705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877833926.26741385</v>
      </c>
      <c r="K52" s="103" t="e">
        <f t="shared" ref="K52:K61" si="6">J52/J$140*100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>
        <v>582284960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582284960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>
        <v>13958050</v>
      </c>
      <c r="F54" s="31">
        <v>0</v>
      </c>
      <c r="G54" s="31">
        <v>0</v>
      </c>
      <c r="H54" s="31">
        <v>0</v>
      </c>
      <c r="I54" s="31"/>
      <c r="J54" s="31">
        <f t="shared" si="7"/>
        <v>13958050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>
        <v>202562680.18713665</v>
      </c>
      <c r="F55" s="31">
        <v>0</v>
      </c>
      <c r="G55" s="31">
        <v>0</v>
      </c>
      <c r="H55" s="31">
        <v>0</v>
      </c>
      <c r="I55" s="31"/>
      <c r="J55" s="31">
        <f t="shared" si="7"/>
        <v>202562680.18713665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459</v>
      </c>
      <c r="D57" s="102" t="s">
        <v>460</v>
      </c>
      <c r="E57" s="31">
        <v>23681899.613223333</v>
      </c>
      <c r="F57" s="31">
        <v>1817124.2163199999</v>
      </c>
      <c r="G57" s="31">
        <v>0</v>
      </c>
      <c r="H57" s="31">
        <v>0</v>
      </c>
      <c r="I57" s="31"/>
      <c r="J57" s="31">
        <f t="shared" si="7"/>
        <v>25499023.829543334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>
        <v>22863380</v>
      </c>
      <c r="F59" s="31">
        <v>7704.1295360000004</v>
      </c>
      <c r="G59" s="31">
        <v>0</v>
      </c>
      <c r="H59" s="31">
        <v>0</v>
      </c>
      <c r="I59" s="31"/>
      <c r="J59" s="31">
        <f t="shared" si="7"/>
        <v>22871084.129535999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>
        <v>9744300.0223151669</v>
      </c>
      <c r="F60" s="31">
        <v>13552878.098882705</v>
      </c>
      <c r="G60" s="31">
        <v>0</v>
      </c>
      <c r="H60" s="31">
        <v>0</v>
      </c>
      <c r="I60" s="31"/>
      <c r="J60" s="31">
        <f t="shared" si="7"/>
        <v>23297178.121197872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>
        <v>7360950</v>
      </c>
      <c r="F61" s="31">
        <v>0</v>
      </c>
      <c r="G61" s="31">
        <v>0</v>
      </c>
      <c r="H61" s="31">
        <v>0</v>
      </c>
      <c r="I61" s="31"/>
      <c r="J61" s="31">
        <f t="shared" si="7"/>
        <v>7360950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34425969.506061152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34425969.506061152</v>
      </c>
      <c r="K63" s="103" t="e">
        <f t="shared" ref="K63:K70" si="9">J63/J$140*100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>
        <v>32735469.528144918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32735469.528144918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>
        <v>1690499.9779162358</v>
      </c>
      <c r="F65" s="31">
        <v>0</v>
      </c>
      <c r="G65" s="31">
        <v>0</v>
      </c>
      <c r="H65" s="31">
        <v>0</v>
      </c>
      <c r="I65" s="31"/>
      <c r="J65" s="31">
        <f t="shared" si="10"/>
        <v>1690499.9779162358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244770</v>
      </c>
      <c r="F72" s="31">
        <f>F73</f>
        <v>1209.2805999999998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245979.2806</v>
      </c>
      <c r="K72" s="103" t="e">
        <f>J72/J$140*100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244770</v>
      </c>
      <c r="F73" s="31">
        <v>1209.2805999999998</v>
      </c>
      <c r="G73" s="31">
        <v>0</v>
      </c>
      <c r="H73" s="31">
        <v>0</v>
      </c>
      <c r="I73" s="31"/>
      <c r="J73" s="31">
        <f>E73+F73+G73+H73</f>
        <v>245979.2806</v>
      </c>
      <c r="K73" s="103" t="e">
        <f>J73/J$140*100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100592879.15933889</v>
      </c>
      <c r="F75" s="32">
        <f t="shared" si="11"/>
        <v>45109381.287060514</v>
      </c>
      <c r="G75" s="32">
        <f t="shared" si="11"/>
        <v>5477607.9478120003</v>
      </c>
      <c r="H75" s="32">
        <f t="shared" si="11"/>
        <v>4122005</v>
      </c>
      <c r="I75" s="32">
        <f t="shared" si="11"/>
        <v>0</v>
      </c>
      <c r="J75" s="32">
        <f t="shared" si="11"/>
        <v>155301873.39421141</v>
      </c>
      <c r="K75" s="92" t="e">
        <f>J75/J$140*100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34594699.566426441</v>
      </c>
      <c r="F78" s="31">
        <f>SUM(F79:F82)</f>
        <v>19776000.36620494</v>
      </c>
      <c r="G78" s="31">
        <f>SUM(G79:G82)</f>
        <v>141977.56523599999</v>
      </c>
      <c r="H78" s="31">
        <f>SUM(H79:H82)</f>
        <v>196810</v>
      </c>
      <c r="I78" s="31">
        <f>SUM(I79:I82)</f>
        <v>0</v>
      </c>
      <c r="J78" s="31">
        <f>E78+F78+G78+H78</f>
        <v>54709487.497867383</v>
      </c>
      <c r="K78" s="103" t="e">
        <f>J78/J$140*100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>
        <v>10955000</v>
      </c>
      <c r="F79" s="31">
        <v>152640.61992908141</v>
      </c>
      <c r="G79" s="31">
        <v>0</v>
      </c>
      <c r="H79" s="31">
        <v>0</v>
      </c>
      <c r="I79" s="31"/>
      <c r="J79" s="31">
        <f>E79+F79+G79+H79</f>
        <v>11107640.619929081</v>
      </c>
      <c r="K79" s="103" t="e">
        <f>J79/J$140*100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>
        <v>1350000</v>
      </c>
      <c r="F80" s="31">
        <v>409661.0888388179</v>
      </c>
      <c r="G80" s="31">
        <v>0</v>
      </c>
      <c r="H80" s="31">
        <v>0</v>
      </c>
      <c r="I80" s="31"/>
      <c r="J80" s="31">
        <f>E80+F80+G80+H80</f>
        <v>1759661.088838818</v>
      </c>
      <c r="K80" s="103" t="e">
        <f>J80/J$140*100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>
        <v>11892700</v>
      </c>
      <c r="F81" s="31">
        <v>2644584.5389079992</v>
      </c>
      <c r="G81" s="31">
        <v>110446.895236</v>
      </c>
      <c r="H81" s="31">
        <v>54315</v>
      </c>
      <c r="I81" s="31"/>
      <c r="J81" s="31">
        <f>E81+F81+G81+H81</f>
        <v>14702046.434144</v>
      </c>
      <c r="K81" s="103" t="e">
        <f>J81/J$140*100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>
        <v>10396999.566426439</v>
      </c>
      <c r="F82" s="31">
        <v>16569114.11852904</v>
      </c>
      <c r="G82" s="31">
        <v>31530.67</v>
      </c>
      <c r="H82" s="31">
        <v>142495</v>
      </c>
      <c r="I82" s="31"/>
      <c r="J82" s="31">
        <f>E82+F82+G82+H82</f>
        <v>27140139.35495548</v>
      </c>
      <c r="K82" s="103" t="e">
        <f>J82/J$140*100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26980719.592912443</v>
      </c>
      <c r="F85" s="31">
        <f>F86+F87</f>
        <v>2057237.9953170265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29037957.58822947</v>
      </c>
      <c r="K85" s="103" t="e">
        <f>J85/J$140*100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>
        <v>8489299.9445056748</v>
      </c>
      <c r="F86" s="31">
        <v>0</v>
      </c>
      <c r="G86" s="31">
        <v>0</v>
      </c>
      <c r="H86" s="31">
        <v>0</v>
      </c>
      <c r="I86" s="31"/>
      <c r="J86" s="31">
        <f>E86+F86+G86+H86</f>
        <v>8489299.9445056748</v>
      </c>
      <c r="K86" s="103" t="e">
        <f>J86/J$140*100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>
        <v>18491419.648406766</v>
      </c>
      <c r="F87" s="31">
        <v>2057237.9953170265</v>
      </c>
      <c r="G87" s="31">
        <v>0</v>
      </c>
      <c r="H87" s="31">
        <v>0</v>
      </c>
      <c r="I87" s="31"/>
      <c r="J87" s="31">
        <f>E87+F87+G87+H87</f>
        <v>20548657.643723793</v>
      </c>
      <c r="K87" s="103" t="e">
        <f>J87/J$140*100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9020850</v>
      </c>
      <c r="F89" s="31">
        <f>F90</f>
        <v>672299.94588423287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9693149.9458842333</v>
      </c>
      <c r="K89" s="103" t="e">
        <f>J89/J$140*100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>
        <v>9020850</v>
      </c>
      <c r="F90" s="31">
        <v>672299.94588423287</v>
      </c>
      <c r="G90" s="31">
        <v>0</v>
      </c>
      <c r="H90" s="31"/>
      <c r="I90" s="31"/>
      <c r="J90" s="31">
        <f>E90+F90+G90+H90</f>
        <v>9693149.9458842333</v>
      </c>
      <c r="K90" s="103" t="e">
        <f>J90/J$140*100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7274510</v>
      </c>
      <c r="F92" s="31">
        <f t="shared" si="12"/>
        <v>1912948.4914700941</v>
      </c>
      <c r="G92" s="31">
        <f t="shared" si="12"/>
        <v>33682.862093999996</v>
      </c>
      <c r="H92" s="31">
        <f t="shared" si="12"/>
        <v>1705934</v>
      </c>
      <c r="I92" s="31">
        <f t="shared" si="12"/>
        <v>0</v>
      </c>
      <c r="J92" s="31">
        <f t="shared" si="12"/>
        <v>10927075.353564095</v>
      </c>
      <c r="K92" s="103" t="e">
        <f>J92/J$140*100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>
        <v>7274510</v>
      </c>
      <c r="F93" s="31">
        <v>1912948.4914700941</v>
      </c>
      <c r="G93" s="31">
        <v>33682.862093999996</v>
      </c>
      <c r="H93" s="31">
        <v>1705934</v>
      </c>
      <c r="I93" s="31"/>
      <c r="J93" s="31">
        <f>E93+F93+G93+H93-I93</f>
        <v>10927075.353564095</v>
      </c>
      <c r="K93" s="103" t="e">
        <f>J93/J$140*100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22722100</v>
      </c>
      <c r="F96" s="31">
        <f t="shared" si="13"/>
        <v>20690894.488184225</v>
      </c>
      <c r="G96" s="31">
        <f t="shared" si="13"/>
        <v>5301947.520482</v>
      </c>
      <c r="H96" s="259">
        <f t="shared" si="13"/>
        <v>2219261</v>
      </c>
      <c r="I96" s="31">
        <f t="shared" si="13"/>
        <v>0</v>
      </c>
      <c r="J96" s="31">
        <f t="shared" si="13"/>
        <v>50934203.008666232</v>
      </c>
      <c r="K96" s="103" t="e">
        <f>J96/J$140*100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>
        <v>0</v>
      </c>
      <c r="F97" s="31">
        <v>0</v>
      </c>
      <c r="G97" s="31">
        <v>4153553</v>
      </c>
      <c r="H97" s="31">
        <v>0</v>
      </c>
      <c r="I97" s="31"/>
      <c r="J97" s="31">
        <f>E97+F97+G97+H97</f>
        <v>4153553</v>
      </c>
      <c r="K97" s="103" t="e">
        <f>J97/J$140*100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>
        <v>22722100</v>
      </c>
      <c r="F98" s="31">
        <v>20690894.488184225</v>
      </c>
      <c r="G98" s="31">
        <v>1148394.520482</v>
      </c>
      <c r="H98" s="31">
        <v>2219261</v>
      </c>
      <c r="I98" s="31"/>
      <c r="J98" s="31">
        <f>E98+F98+G98+H98-I98</f>
        <v>46780650.008666232</v>
      </c>
      <c r="K98" s="103" t="e">
        <f>J98/J$140*100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3740519.7803400001</v>
      </c>
      <c r="F100" s="32">
        <f>F103+F109+F113</f>
        <v>11452401.775928</v>
      </c>
      <c r="G100" s="32">
        <f>G103+G109+G113</f>
        <v>200000</v>
      </c>
      <c r="H100" s="32">
        <f>H103+H109+H113</f>
        <v>85710</v>
      </c>
      <c r="I100" s="32">
        <f>I103+I109+I113</f>
        <v>0</v>
      </c>
      <c r="J100" s="32">
        <f>E100+F100+G100+H100</f>
        <v>15478631.556267999</v>
      </c>
      <c r="K100" s="92" t="e">
        <f>J100/J$140*100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3190849.7803400001</v>
      </c>
      <c r="F103" s="31">
        <f>SUM(F104:F107)</f>
        <v>4076989.5024140002</v>
      </c>
      <c r="G103" s="31">
        <f>SUM(G104:G107)</f>
        <v>200000</v>
      </c>
      <c r="H103" s="31">
        <f>SUM(H104:H107)</f>
        <v>85710</v>
      </c>
      <c r="I103" s="31">
        <f>SUM(I104:I107)</f>
        <v>0</v>
      </c>
      <c r="J103" s="31">
        <f>E103+F103+G103+H103</f>
        <v>7553549.2827540003</v>
      </c>
      <c r="K103" s="103" t="e">
        <f>J103/J$140*100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>
        <v>2893969.9803399998</v>
      </c>
      <c r="F104" s="31">
        <v>3619164.6620220002</v>
      </c>
      <c r="G104" s="31">
        <v>200000</v>
      </c>
      <c r="H104" s="31">
        <v>81756</v>
      </c>
      <c r="I104" s="31"/>
      <c r="J104" s="31">
        <f>E104+F104+G104+H104</f>
        <v>6794890.6423620004</v>
      </c>
      <c r="K104" s="103" t="e">
        <f>J104/J$140*100</f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>
        <v>230140</v>
      </c>
      <c r="F105" s="31">
        <v>15565.640013999997</v>
      </c>
      <c r="G105" s="31"/>
      <c r="H105" s="31">
        <v>330</v>
      </c>
      <c r="I105" s="31"/>
      <c r="J105" s="31">
        <f>E105+F105+G105+H105</f>
        <v>246035.640014</v>
      </c>
      <c r="K105" s="103" t="e">
        <f>J105/J$140*100</f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>
        <v>8999.6</v>
      </c>
      <c r="F106" s="31">
        <v>8463.8648539999995</v>
      </c>
      <c r="G106" s="31"/>
      <c r="H106" s="31">
        <v>2799</v>
      </c>
      <c r="I106" s="31"/>
      <c r="J106" s="31">
        <f>E106+F106+G106+H106</f>
        <v>20262.464853999998</v>
      </c>
      <c r="K106" s="103" t="e">
        <f>J106/J$140*100</f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1">
        <v>57740.2</v>
      </c>
      <c r="F107" s="31">
        <v>433795.33552399999</v>
      </c>
      <c r="G107" s="31"/>
      <c r="H107" s="31">
        <v>825</v>
      </c>
      <c r="I107" s="31"/>
      <c r="J107" s="31">
        <f>E107+F107+G107+H107</f>
        <v>492360.53552400001</v>
      </c>
      <c r="K107" s="103" t="e">
        <f>J107/J$140*100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J109/J$140*100</f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549670</v>
      </c>
      <c r="F113" s="31">
        <f>F114+F115+F116</f>
        <v>7375412.2735139998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7925082.2735139998</v>
      </c>
      <c r="K113" s="103" t="e">
        <f>J113/J$140*100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>
        <v>0</v>
      </c>
      <c r="F114" s="31">
        <v>7375412.2735139998</v>
      </c>
      <c r="G114" s="31">
        <v>0</v>
      </c>
      <c r="H114" s="31">
        <v>0</v>
      </c>
      <c r="I114" s="31"/>
      <c r="J114" s="31">
        <f>E114+F114+G114+H114</f>
        <v>7375412.2735139998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>
        <v>549670</v>
      </c>
      <c r="F115" s="31">
        <v>0</v>
      </c>
      <c r="G115" s="31">
        <v>0</v>
      </c>
      <c r="H115" s="31">
        <v>0</v>
      </c>
      <c r="I115" s="31"/>
      <c r="J115" s="31">
        <f>E115+F115+G115+H115</f>
        <v>549670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>
        <v>0</v>
      </c>
      <c r="F116" s="31">
        <v>0</v>
      </c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18917300</v>
      </c>
      <c r="F118" s="32">
        <f>F121+F125</f>
        <v>957108.21713599993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19874408.217135999</v>
      </c>
      <c r="K118" s="92" t="e">
        <f>J118/J$140*100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f t="shared" ref="E121:J121" si="14">E122+E123</f>
        <v>10000</v>
      </c>
      <c r="F121" s="31">
        <f t="shared" si="14"/>
        <v>732010.52755999996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742010.52755999996</v>
      </c>
      <c r="K121" s="103" t="e">
        <f>J121/J$140*100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>
        <v>10000</v>
      </c>
      <c r="F122" s="31">
        <v>732010.52755999996</v>
      </c>
      <c r="G122" s="31">
        <v>0</v>
      </c>
      <c r="H122" s="31">
        <v>0</v>
      </c>
      <c r="I122" s="31"/>
      <c r="J122" s="31">
        <f>E122+F122+G122+H122</f>
        <v>742010.52755999996</v>
      </c>
      <c r="K122" s="103" t="e">
        <f>J122/J$140*100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J123/J$140*100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18907300</v>
      </c>
      <c r="F125" s="31">
        <f>F126+F127</f>
        <v>225097.68957599998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19132397.689576</v>
      </c>
      <c r="K125" s="103" t="e">
        <f>J125/J$140*100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>
        <v>8407300</v>
      </c>
      <c r="F126" s="31">
        <v>26550</v>
      </c>
      <c r="G126" s="31">
        <v>0</v>
      </c>
      <c r="H126" s="31">
        <v>0</v>
      </c>
      <c r="I126" s="31"/>
      <c r="J126" s="31">
        <f>E126+F126+G126+H126</f>
        <v>8433850</v>
      </c>
      <c r="K126" s="103" t="e">
        <f>J126/J$140*100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>
        <v>10500000</v>
      </c>
      <c r="F127" s="31">
        <v>198547.68957599998</v>
      </c>
      <c r="G127" s="31">
        <v>0</v>
      </c>
      <c r="H127" s="31">
        <v>0</v>
      </c>
      <c r="I127" s="31"/>
      <c r="J127" s="31">
        <f>E127+F127+G127+H127</f>
        <v>10698547.689576</v>
      </c>
      <c r="K127" s="103" t="e">
        <f>J127/J$140*100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109700</v>
      </c>
      <c r="F129" s="73">
        <f>F131</f>
        <v>66065468.237237997</v>
      </c>
      <c r="G129" s="73">
        <f>G131</f>
        <v>250776582.0546656</v>
      </c>
      <c r="H129" s="73">
        <f>H131</f>
        <v>73087675</v>
      </c>
      <c r="I129" s="73">
        <f>I131</f>
        <v>382497406.85018164</v>
      </c>
      <c r="J129" s="73">
        <f>+J131</f>
        <v>7542018.441722</v>
      </c>
      <c r="K129" s="92" t="e">
        <f>J129/J$140*100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E133+E134+E135+E136</f>
        <v>109700</v>
      </c>
      <c r="F131" s="109">
        <f>F133+F134+F135+F136</f>
        <v>66065468.237237997</v>
      </c>
      <c r="G131" s="109">
        <f>G133+G134+G135+G136</f>
        <v>250776582.0546656</v>
      </c>
      <c r="H131" s="109">
        <f>H133+H134+H135+H136</f>
        <v>73087675</v>
      </c>
      <c r="I131" s="109">
        <f>I133+I134+I135+I136</f>
        <v>382497406.85018164</v>
      </c>
      <c r="J131" s="109">
        <f>SUM(J133:J136)</f>
        <v>7542018.441722</v>
      </c>
      <c r="K131" s="103" t="e">
        <f>J131/J$140*100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>
        <v>103100</v>
      </c>
      <c r="F133" s="117">
        <v>62234024.259999998</v>
      </c>
      <c r="G133" s="117">
        <v>244007446.0546656</v>
      </c>
      <c r="H133" s="117">
        <v>4298075</v>
      </c>
      <c r="I133" s="428">
        <v>310642645.31466562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577</v>
      </c>
      <c r="D134" s="102" t="s">
        <v>578</v>
      </c>
      <c r="E134" s="109">
        <v>0</v>
      </c>
      <c r="F134" s="117">
        <v>2586783.1249199999</v>
      </c>
      <c r="G134" s="109">
        <v>0</v>
      </c>
      <c r="H134" s="117">
        <v>2920467</v>
      </c>
      <c r="I134" s="428">
        <v>5507250.1249199994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579</v>
      </c>
      <c r="D135" s="102" t="s">
        <v>580</v>
      </c>
      <c r="E135" s="117">
        <v>6600</v>
      </c>
      <c r="F135" s="117">
        <v>77642.410595999987</v>
      </c>
      <c r="G135" s="117">
        <v>394136</v>
      </c>
      <c r="H135" s="117">
        <v>65869133</v>
      </c>
      <c r="I135" s="428">
        <v>66347511.410595998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581</v>
      </c>
      <c r="D136" s="102" t="s">
        <v>582</v>
      </c>
      <c r="E136" s="109">
        <v>0</v>
      </c>
      <c r="F136" s="109">
        <v>1167018.4417219998</v>
      </c>
      <c r="G136" s="109">
        <v>6375000</v>
      </c>
      <c r="H136" s="109">
        <v>0</v>
      </c>
      <c r="I136" s="109">
        <v>0</v>
      </c>
      <c r="J136" s="109">
        <f>E136+F136+G136+H136-I136</f>
        <v>7542018.441722</v>
      </c>
      <c r="K136" s="103" t="e">
        <f>J136/J$140*100</f>
        <v>#REF!</v>
      </c>
    </row>
    <row r="137" spans="1:11" ht="15.75" thickBot="1" x14ac:dyDescent="0.25">
      <c r="A137" s="120"/>
      <c r="B137" s="121"/>
      <c r="C137" s="122"/>
      <c r="D137" s="123"/>
      <c r="E137" s="124"/>
      <c r="F137" s="124"/>
      <c r="G137" s="124"/>
      <c r="H137" s="124"/>
      <c r="I137" s="124"/>
      <c r="J137" s="124"/>
      <c r="K137" s="125"/>
    </row>
    <row r="138" spans="1:11" ht="15.75" thickTop="1" x14ac:dyDescent="0.2">
      <c r="A138" s="126"/>
      <c r="B138" s="126"/>
      <c r="C138" s="127"/>
      <c r="D138" s="127"/>
      <c r="E138" s="128"/>
      <c r="F138" s="128"/>
      <c r="G138" s="128"/>
      <c r="H138" s="128"/>
      <c r="I138" s="128"/>
      <c r="J138" s="128"/>
      <c r="K138" s="128"/>
    </row>
    <row r="139" spans="1:11" ht="16.5" thickBot="1" x14ac:dyDescent="0.3">
      <c r="A139" s="53"/>
      <c r="B139" s="53"/>
      <c r="C139" s="54"/>
      <c r="D139" s="54"/>
      <c r="E139" s="129"/>
      <c r="F139" s="129"/>
      <c r="G139" s="129"/>
      <c r="H139" s="129"/>
      <c r="I139" s="129"/>
      <c r="J139" s="130"/>
      <c r="K139" s="130"/>
    </row>
    <row r="140" spans="1:11" ht="19.5" thickTop="1" thickBot="1" x14ac:dyDescent="0.3">
      <c r="A140" s="53" t="s">
        <v>866</v>
      </c>
      <c r="B140" s="53"/>
      <c r="C140" s="131" t="s">
        <v>583</v>
      </c>
      <c r="D140" s="131"/>
      <c r="E140" s="132"/>
      <c r="F140" s="132"/>
      <c r="G140" s="132"/>
      <c r="H140" s="132"/>
      <c r="I140" s="132"/>
      <c r="J140" s="133" t="e">
        <f>+#REF!</f>
        <v>#REF!</v>
      </c>
      <c r="K140" s="134"/>
    </row>
    <row r="141" spans="1:11" ht="17.25" thickTop="1" thickBot="1" x14ac:dyDescent="0.3">
      <c r="A141" s="53"/>
      <c r="B141" s="53"/>
      <c r="C141" s="54"/>
      <c r="D141" s="54"/>
      <c r="E141" s="10"/>
      <c r="F141" s="10"/>
      <c r="G141" s="10"/>
      <c r="H141" s="10"/>
      <c r="I141" s="134"/>
      <c r="J141" s="10"/>
      <c r="K141" s="10"/>
    </row>
    <row r="142" spans="1:11" ht="16.5" thickTop="1" thickBot="1" x14ac:dyDescent="0.25">
      <c r="A142" s="135"/>
      <c r="B142" s="136"/>
      <c r="C142" s="137"/>
      <c r="D142" s="138"/>
      <c r="E142" s="139"/>
      <c r="F142" s="139"/>
      <c r="G142" s="139"/>
      <c r="H142" s="139"/>
      <c r="I142" s="139"/>
      <c r="J142" s="140"/>
      <c r="K142" s="141"/>
    </row>
    <row r="143" spans="1:11" ht="17.25" thickTop="1" thickBot="1" x14ac:dyDescent="0.3">
      <c r="A143" s="69"/>
      <c r="B143" s="70" t="s">
        <v>83</v>
      </c>
      <c r="C143" s="77" t="s">
        <v>585</v>
      </c>
      <c r="D143" s="142"/>
      <c r="E143" s="73">
        <f>E146+E205+E247+E261</f>
        <v>1558796484</v>
      </c>
      <c r="F143" s="73">
        <f>F146+F205+F247+F261</f>
        <v>308048429.05073208</v>
      </c>
      <c r="G143" s="73">
        <f>G146+G205+G247+G261-1</f>
        <v>839038878.2562145</v>
      </c>
      <c r="H143" s="73">
        <f>H146+H205+H247+H261</f>
        <v>403259487.68442762</v>
      </c>
      <c r="I143" s="74">
        <f>I146+I205+I247+I261</f>
        <v>489902941.78637803</v>
      </c>
      <c r="J143" s="75">
        <f>E143+F143+G143+H143-I143+1</f>
        <v>2619240338.2049966</v>
      </c>
      <c r="K143" s="76" t="e">
        <f>J143/J$140*100</f>
        <v>#REF!</v>
      </c>
    </row>
    <row r="144" spans="1:11" ht="16.5" thickTop="1" x14ac:dyDescent="0.25">
      <c r="A144" s="69"/>
      <c r="B144" s="70"/>
      <c r="C144" s="77" t="s">
        <v>587</v>
      </c>
      <c r="D144" s="142"/>
      <c r="E144" s="143"/>
      <c r="F144" s="73"/>
      <c r="G144" s="73"/>
      <c r="H144" s="73"/>
      <c r="I144" s="73"/>
      <c r="J144" s="80"/>
      <c r="K144" s="144"/>
    </row>
    <row r="145" spans="1:11" x14ac:dyDescent="0.2">
      <c r="A145" s="82"/>
      <c r="B145" s="94"/>
      <c r="C145" s="95"/>
      <c r="D145" s="145"/>
      <c r="E145" s="34"/>
      <c r="F145" s="34"/>
      <c r="G145" s="34"/>
      <c r="H145" s="34"/>
      <c r="I145" s="34"/>
      <c r="J145" s="34"/>
      <c r="K145" s="105"/>
    </row>
    <row r="146" spans="1:11" ht="15.75" x14ac:dyDescent="0.25">
      <c r="A146" s="88">
        <v>40</v>
      </c>
      <c r="B146" s="89"/>
      <c r="C146" s="90" t="s">
        <v>588</v>
      </c>
      <c r="D146" s="146"/>
      <c r="E146" s="32">
        <f>E149+E161+E170+E185+E192+E199</f>
        <v>792046357</v>
      </c>
      <c r="F146" s="32">
        <f>F149+F161+F170+F185+F192+F199</f>
        <v>123337242.81786543</v>
      </c>
      <c r="G146" s="32">
        <f>G149+G161+G170+G185+G192+G199</f>
        <v>11411922</v>
      </c>
      <c r="H146" s="32">
        <f>H149+H161+H170+H185+H192+H199</f>
        <v>353457627.68442762</v>
      </c>
      <c r="I146" s="32">
        <f>+I161+I170</f>
        <v>107405534.93619648</v>
      </c>
      <c r="J146" s="32">
        <f>E146+F146+G146+H146-I146</f>
        <v>1172847614.5660965</v>
      </c>
      <c r="K146" s="92" t="e">
        <f>J146/J$140*100</f>
        <v>#REF!</v>
      </c>
    </row>
    <row r="147" spans="1:11" x14ac:dyDescent="0.2">
      <c r="A147" s="147"/>
      <c r="B147" s="148"/>
      <c r="C147" s="96" t="s">
        <v>816</v>
      </c>
      <c r="D147" s="145"/>
      <c r="E147" s="34"/>
      <c r="F147" s="34"/>
      <c r="G147" s="34"/>
      <c r="H147" s="34"/>
      <c r="I147" s="34"/>
      <c r="J147" s="34"/>
      <c r="K147" s="105"/>
    </row>
    <row r="148" spans="1:11" x14ac:dyDescent="0.2">
      <c r="A148" s="82"/>
      <c r="B148" s="94"/>
      <c r="C148" s="95"/>
      <c r="D148" s="145"/>
      <c r="E148" s="34"/>
      <c r="F148" s="34"/>
      <c r="G148" s="34"/>
      <c r="H148" s="34"/>
      <c r="I148" s="34"/>
      <c r="J148" s="34"/>
      <c r="K148" s="105"/>
    </row>
    <row r="149" spans="1:11" x14ac:dyDescent="0.2">
      <c r="A149" s="99"/>
      <c r="B149" s="100"/>
      <c r="C149" s="101" t="s">
        <v>817</v>
      </c>
      <c r="D149" s="149"/>
      <c r="E149" s="31">
        <f>+E151+E159</f>
        <v>408043440</v>
      </c>
      <c r="F149" s="31">
        <f>+F151+F159</f>
        <v>39404397.510229111</v>
      </c>
      <c r="G149" s="31">
        <f>+G151+G159</f>
        <v>3619417</v>
      </c>
      <c r="H149" s="31">
        <f>+H151+H159</f>
        <v>144634618.24981999</v>
      </c>
      <c r="I149" s="31">
        <f>+I151+I159</f>
        <v>0</v>
      </c>
      <c r="J149" s="31">
        <f>E149+F149+G149+H149-I149</f>
        <v>595701872.7600491</v>
      </c>
      <c r="K149" s="103" t="e">
        <f>J149/J$140*100</f>
        <v>#REF!</v>
      </c>
    </row>
    <row r="150" spans="1:11" x14ac:dyDescent="0.2">
      <c r="A150" s="82"/>
      <c r="B150" s="94"/>
      <c r="C150" s="96"/>
      <c r="D150" s="145"/>
      <c r="E150" s="86"/>
      <c r="F150" s="86"/>
      <c r="G150" s="86"/>
      <c r="H150" s="86"/>
      <c r="I150" s="86"/>
      <c r="J150" s="86"/>
      <c r="K150" s="110"/>
    </row>
    <row r="151" spans="1:11" x14ac:dyDescent="0.2">
      <c r="A151" s="99">
        <v>400</v>
      </c>
      <c r="B151" s="100"/>
      <c r="C151" s="101" t="s">
        <v>818</v>
      </c>
      <c r="D151" s="149"/>
      <c r="E151" s="31">
        <f>SUM(E152:E158)</f>
        <v>179047808</v>
      </c>
      <c r="F151" s="31">
        <v>17498687.220533688</v>
      </c>
      <c r="G151" s="31">
        <v>3619417</v>
      </c>
      <c r="H151" s="31">
        <v>4414932</v>
      </c>
      <c r="I151" s="31">
        <v>0</v>
      </c>
      <c r="J151" s="31">
        <f>E151+F151+G151+H151-I151</f>
        <v>204580844.2205337</v>
      </c>
      <c r="K151" s="103" t="e">
        <f>J151/J$140*100</f>
        <v>#REF!</v>
      </c>
    </row>
    <row r="152" spans="1:11" x14ac:dyDescent="0.2">
      <c r="A152" s="99">
        <v>4000</v>
      </c>
      <c r="B152" s="100"/>
      <c r="C152" s="101" t="s">
        <v>593</v>
      </c>
      <c r="D152" s="149"/>
      <c r="E152" s="31">
        <v>151926295</v>
      </c>
      <c r="F152" s="202"/>
      <c r="G152" s="202"/>
      <c r="H152" s="202"/>
      <c r="I152" s="202" t="s">
        <v>845</v>
      </c>
      <c r="J152" s="202" t="s">
        <v>845</v>
      </c>
      <c r="K152" s="103"/>
    </row>
    <row r="153" spans="1:11" x14ac:dyDescent="0.2">
      <c r="A153" s="99">
        <v>4001</v>
      </c>
      <c r="B153" s="100"/>
      <c r="C153" s="101" t="s">
        <v>595</v>
      </c>
      <c r="D153" s="149"/>
      <c r="E153" s="31">
        <v>5386638</v>
      </c>
      <c r="F153" s="202"/>
      <c r="G153" s="202"/>
      <c r="H153" s="202"/>
      <c r="I153" s="202" t="s">
        <v>845</v>
      </c>
      <c r="J153" s="202" t="s">
        <v>845</v>
      </c>
      <c r="K153" s="103"/>
    </row>
    <row r="154" spans="1:11" x14ac:dyDescent="0.2">
      <c r="A154" s="99">
        <v>4002</v>
      </c>
      <c r="B154" s="100"/>
      <c r="C154" s="101" t="s">
        <v>597</v>
      </c>
      <c r="D154" s="149"/>
      <c r="E154" s="31">
        <v>14935031</v>
      </c>
      <c r="F154" s="202"/>
      <c r="G154" s="202"/>
      <c r="H154" s="202"/>
      <c r="I154" s="202" t="s">
        <v>845</v>
      </c>
      <c r="J154" s="202" t="s">
        <v>845</v>
      </c>
      <c r="K154" s="103"/>
    </row>
    <row r="155" spans="1:11" x14ac:dyDescent="0.2">
      <c r="A155" s="99">
        <v>4003</v>
      </c>
      <c r="B155" s="100"/>
      <c r="C155" s="101" t="s">
        <v>599</v>
      </c>
      <c r="D155" s="149"/>
      <c r="E155" s="31">
        <v>3677060</v>
      </c>
      <c r="F155" s="202"/>
      <c r="G155" s="202"/>
      <c r="H155" s="202"/>
      <c r="I155" s="202" t="s">
        <v>845</v>
      </c>
      <c r="J155" s="202" t="s">
        <v>845</v>
      </c>
      <c r="K155" s="103"/>
    </row>
    <row r="156" spans="1:11" x14ac:dyDescent="0.2">
      <c r="A156" s="99">
        <v>4004</v>
      </c>
      <c r="B156" s="100"/>
      <c r="C156" s="101" t="s">
        <v>601</v>
      </c>
      <c r="D156" s="149"/>
      <c r="E156" s="31">
        <v>1910472</v>
      </c>
      <c r="F156" s="202"/>
      <c r="G156" s="202"/>
      <c r="H156" s="202"/>
      <c r="I156" s="202" t="s">
        <v>845</v>
      </c>
      <c r="J156" s="202" t="s">
        <v>845</v>
      </c>
      <c r="K156" s="103"/>
    </row>
    <row r="157" spans="1:11" x14ac:dyDescent="0.2">
      <c r="A157" s="99">
        <v>4005</v>
      </c>
      <c r="B157" s="100"/>
      <c r="C157" s="101" t="s">
        <v>603</v>
      </c>
      <c r="D157" s="149"/>
      <c r="E157" s="31">
        <v>21877</v>
      </c>
      <c r="F157" s="202"/>
      <c r="G157" s="202"/>
      <c r="H157" s="202"/>
      <c r="I157" s="202" t="s">
        <v>845</v>
      </c>
      <c r="J157" s="202" t="s">
        <v>845</v>
      </c>
      <c r="K157" s="103"/>
    </row>
    <row r="158" spans="1:11" x14ac:dyDescent="0.2">
      <c r="A158" s="99">
        <v>4009</v>
      </c>
      <c r="B158" s="100"/>
      <c r="C158" s="101" t="s">
        <v>605</v>
      </c>
      <c r="D158" s="149"/>
      <c r="E158" s="31">
        <v>1190435</v>
      </c>
      <c r="F158" s="202"/>
      <c r="G158" s="202"/>
      <c r="H158" s="202"/>
      <c r="I158" s="202" t="s">
        <v>845</v>
      </c>
      <c r="J158" s="202" t="s">
        <v>845</v>
      </c>
      <c r="K158" s="103"/>
    </row>
    <row r="159" spans="1:11" x14ac:dyDescent="0.2">
      <c r="A159" s="99">
        <v>413300</v>
      </c>
      <c r="B159" s="100"/>
      <c r="C159" s="101" t="s">
        <v>819</v>
      </c>
      <c r="D159" s="149"/>
      <c r="E159" s="31">
        <v>228995632</v>
      </c>
      <c r="F159" s="31">
        <v>21905710.289695427</v>
      </c>
      <c r="G159" s="31">
        <v>0</v>
      </c>
      <c r="H159" s="31">
        <v>140219686.24981999</v>
      </c>
      <c r="I159" s="31">
        <v>0</v>
      </c>
      <c r="J159" s="31">
        <f>E159+F159+G159+H159-I159</f>
        <v>391121028.53951544</v>
      </c>
      <c r="K159" s="103" t="e">
        <f>J159/J$140*100</f>
        <v>#REF!</v>
      </c>
    </row>
    <row r="160" spans="1:11" x14ac:dyDescent="0.2">
      <c r="A160" s="82"/>
      <c r="B160" s="94"/>
      <c r="C160" s="95"/>
      <c r="D160" s="145"/>
      <c r="E160" s="34"/>
      <c r="F160" s="34"/>
      <c r="G160" s="34"/>
      <c r="H160" s="34"/>
      <c r="I160" s="34"/>
      <c r="J160" s="34"/>
      <c r="K160" s="150"/>
    </row>
    <row r="161" spans="1:11" x14ac:dyDescent="0.2">
      <c r="A161" s="151"/>
      <c r="B161" s="115"/>
      <c r="C161" s="112" t="s">
        <v>820</v>
      </c>
      <c r="D161" s="152"/>
      <c r="E161" s="113">
        <f>+E163+E168</f>
        <v>70955465</v>
      </c>
      <c r="F161" s="113">
        <f>+F163+F168</f>
        <v>5295934.9361964744</v>
      </c>
      <c r="G161" s="113">
        <f>+G163+G168</f>
        <v>521687</v>
      </c>
      <c r="H161" s="113">
        <f>+H163+H168</f>
        <v>30632448</v>
      </c>
      <c r="I161" s="426">
        <f>+I163+I168</f>
        <v>107405534.93619648</v>
      </c>
      <c r="J161" s="113">
        <f>E161+F161+G161+H161-I161</f>
        <v>0</v>
      </c>
      <c r="K161" s="110"/>
    </row>
    <row r="162" spans="1:11" x14ac:dyDescent="0.2">
      <c r="A162" s="151"/>
      <c r="B162" s="115"/>
      <c r="C162" s="112"/>
      <c r="D162" s="152"/>
      <c r="E162" s="113"/>
      <c r="F162" s="113"/>
      <c r="G162" s="113"/>
      <c r="H162" s="113"/>
      <c r="I162" s="113"/>
      <c r="J162" s="113"/>
      <c r="K162" s="110"/>
    </row>
    <row r="163" spans="1:11" x14ac:dyDescent="0.2">
      <c r="A163" s="106">
        <v>401</v>
      </c>
      <c r="B163" s="107"/>
      <c r="C163" s="108" t="s">
        <v>832</v>
      </c>
      <c r="D163" s="153"/>
      <c r="E163" s="109">
        <f>SUM(E164:E167)</f>
        <v>29038018</v>
      </c>
      <c r="F163" s="109">
        <f>SUM(F164:F167)</f>
        <v>2491698.8480373775</v>
      </c>
      <c r="G163" s="109">
        <f>SUM(G164:G167)</f>
        <v>521687</v>
      </c>
      <c r="H163" s="109">
        <f>SUM(H164:H167)</f>
        <v>631739.00000000012</v>
      </c>
      <c r="I163" s="109">
        <f>SUM(I164:I167)</f>
        <v>32683142.848037373</v>
      </c>
      <c r="J163" s="109">
        <f t="shared" ref="J163:J168" si="15">E163+F163+G163+H163-I163</f>
        <v>0</v>
      </c>
      <c r="K163" s="103"/>
    </row>
    <row r="164" spans="1:11" x14ac:dyDescent="0.2">
      <c r="A164" s="106">
        <v>4010</v>
      </c>
      <c r="B164" s="107"/>
      <c r="C164" s="108" t="s">
        <v>608</v>
      </c>
      <c r="D164" s="153"/>
      <c r="E164" s="109">
        <v>17966616</v>
      </c>
      <c r="F164" s="109">
        <v>1569770.2742635477</v>
      </c>
      <c r="G164" s="109">
        <v>286676</v>
      </c>
      <c r="H164" s="109">
        <v>351878.62300000002</v>
      </c>
      <c r="I164" s="109">
        <v>20174940.897263546</v>
      </c>
      <c r="J164" s="109">
        <f t="shared" si="15"/>
        <v>0</v>
      </c>
      <c r="K164" s="104"/>
    </row>
    <row r="165" spans="1:11" x14ac:dyDescent="0.2">
      <c r="A165" s="106">
        <v>4011</v>
      </c>
      <c r="B165" s="107"/>
      <c r="C165" s="108" t="s">
        <v>613</v>
      </c>
      <c r="D165" s="153"/>
      <c r="E165" s="109">
        <v>10823635</v>
      </c>
      <c r="F165" s="109">
        <v>892028.18759738107</v>
      </c>
      <c r="G165" s="109">
        <v>229824</v>
      </c>
      <c r="H165" s="109">
        <v>273542.98700000002</v>
      </c>
      <c r="I165" s="109">
        <v>12219030.174597381</v>
      </c>
      <c r="J165" s="109">
        <f t="shared" si="15"/>
        <v>0</v>
      </c>
      <c r="K165" s="104"/>
    </row>
    <row r="166" spans="1:11" x14ac:dyDescent="0.2">
      <c r="A166" s="106">
        <v>4012</v>
      </c>
      <c r="B166" s="107"/>
      <c r="C166" s="108" t="s">
        <v>615</v>
      </c>
      <c r="D166" s="153"/>
      <c r="E166" s="109">
        <v>93531</v>
      </c>
      <c r="F166" s="109">
        <v>13704.343664205575</v>
      </c>
      <c r="G166" s="109">
        <v>1945</v>
      </c>
      <c r="H166" s="109">
        <v>2526.9560000000001</v>
      </c>
      <c r="I166" s="109">
        <v>111707.29966420558</v>
      </c>
      <c r="J166" s="109">
        <f t="shared" si="15"/>
        <v>0</v>
      </c>
      <c r="K166" s="104"/>
    </row>
    <row r="167" spans="1:11" x14ac:dyDescent="0.2">
      <c r="A167" s="106">
        <v>4013</v>
      </c>
      <c r="B167" s="107"/>
      <c r="C167" s="108" t="s">
        <v>617</v>
      </c>
      <c r="D167" s="153"/>
      <c r="E167" s="109">
        <v>154236</v>
      </c>
      <c r="F167" s="109">
        <v>16196.042512242953</v>
      </c>
      <c r="G167" s="109">
        <v>3242</v>
      </c>
      <c r="H167" s="109">
        <v>3790.4340000000002</v>
      </c>
      <c r="I167" s="109">
        <v>177464.47651224295</v>
      </c>
      <c r="J167" s="109">
        <f t="shared" si="15"/>
        <v>0</v>
      </c>
      <c r="K167" s="104"/>
    </row>
    <row r="168" spans="1:11" x14ac:dyDescent="0.2">
      <c r="A168" s="106">
        <v>413301</v>
      </c>
      <c r="B168" s="107"/>
      <c r="C168" s="108" t="s">
        <v>821</v>
      </c>
      <c r="D168" s="153"/>
      <c r="E168" s="109">
        <v>41917447</v>
      </c>
      <c r="F168" s="109">
        <v>2804236.0881590964</v>
      </c>
      <c r="G168" s="109">
        <v>0</v>
      </c>
      <c r="H168" s="109">
        <v>30000709</v>
      </c>
      <c r="I168" s="109">
        <v>74722392.088159099</v>
      </c>
      <c r="J168" s="109">
        <f t="shared" si="15"/>
        <v>0</v>
      </c>
      <c r="K168" s="104"/>
    </row>
    <row r="169" spans="1:11" x14ac:dyDescent="0.2">
      <c r="A169" s="82"/>
      <c r="B169" s="94"/>
      <c r="C169" s="95"/>
      <c r="D169" s="145"/>
      <c r="E169" s="34"/>
      <c r="F169" s="34"/>
      <c r="G169" s="34"/>
      <c r="H169" s="34"/>
      <c r="I169" s="34"/>
      <c r="J169" s="34"/>
      <c r="K169" s="105"/>
    </row>
    <row r="170" spans="1:11" x14ac:dyDescent="0.2">
      <c r="A170" s="99"/>
      <c r="B170" s="100"/>
      <c r="C170" s="101" t="s">
        <v>822</v>
      </c>
      <c r="D170" s="149"/>
      <c r="E170" s="31">
        <f t="shared" ref="E170:J170" si="16">+E172+E183</f>
        <v>217226849</v>
      </c>
      <c r="F170" s="31">
        <f t="shared" si="16"/>
        <v>76237175.678806633</v>
      </c>
      <c r="G170" s="31">
        <f t="shared" si="16"/>
        <v>5770818</v>
      </c>
      <c r="H170" s="31">
        <f t="shared" si="16"/>
        <v>177790561.4346076</v>
      </c>
      <c r="I170" s="31">
        <f t="shared" si="16"/>
        <v>0</v>
      </c>
      <c r="J170" s="31">
        <f t="shared" si="16"/>
        <v>477025404.11341423</v>
      </c>
      <c r="K170" s="103" t="e">
        <f>J170/J$140*100</f>
        <v>#REF!</v>
      </c>
    </row>
    <row r="171" spans="1:11" x14ac:dyDescent="0.2">
      <c r="A171" s="82"/>
      <c r="B171" s="94"/>
      <c r="C171" s="96"/>
      <c r="D171" s="145"/>
      <c r="E171" s="86"/>
      <c r="F171" s="86"/>
      <c r="G171" s="86"/>
      <c r="H171" s="86"/>
      <c r="I171" s="86"/>
      <c r="J171" s="86"/>
      <c r="K171" s="110"/>
    </row>
    <row r="172" spans="1:11" x14ac:dyDescent="0.2">
      <c r="A172" s="99">
        <v>402</v>
      </c>
      <c r="B172" s="100"/>
      <c r="C172" s="101" t="s">
        <v>833</v>
      </c>
      <c r="D172" s="149"/>
      <c r="E172" s="31">
        <f>SUM(E173:E182)</f>
        <v>159211285</v>
      </c>
      <c r="F172" s="31">
        <f>SUM(F173:F182)</f>
        <v>45358424.195390329</v>
      </c>
      <c r="G172" s="31">
        <v>5770818</v>
      </c>
      <c r="H172" s="31">
        <v>5915457</v>
      </c>
      <c r="I172" s="31">
        <f>SUM(I173:I182)</f>
        <v>0</v>
      </c>
      <c r="J172" s="31">
        <f>E172+F172+G172+H172-I172</f>
        <v>216255984.19539034</v>
      </c>
      <c r="K172" s="103" t="e">
        <f>J172/J$140*100</f>
        <v>#REF!</v>
      </c>
    </row>
    <row r="173" spans="1:11" x14ac:dyDescent="0.2">
      <c r="A173" s="99">
        <v>4020</v>
      </c>
      <c r="B173" s="100"/>
      <c r="C173" s="101" t="s">
        <v>937</v>
      </c>
      <c r="D173" s="149"/>
      <c r="E173" s="31">
        <v>21657795</v>
      </c>
      <c r="F173" s="31">
        <v>6475010.0901467605</v>
      </c>
      <c r="G173" s="202"/>
      <c r="H173" s="202"/>
      <c r="I173" s="202" t="s">
        <v>845</v>
      </c>
      <c r="J173" s="202" t="s">
        <v>845</v>
      </c>
      <c r="K173" s="155"/>
    </row>
    <row r="174" spans="1:11" x14ac:dyDescent="0.2">
      <c r="A174" s="99">
        <v>4021</v>
      </c>
      <c r="B174" s="100"/>
      <c r="C174" s="101" t="s">
        <v>939</v>
      </c>
      <c r="D174" s="149"/>
      <c r="E174" s="31">
        <v>39514167</v>
      </c>
      <c r="F174" s="31">
        <v>1413335.9177650856</v>
      </c>
      <c r="G174" s="202"/>
      <c r="H174" s="202"/>
      <c r="I174" s="202" t="s">
        <v>845</v>
      </c>
      <c r="J174" s="202" t="s">
        <v>845</v>
      </c>
      <c r="K174" s="155"/>
    </row>
    <row r="175" spans="1:11" x14ac:dyDescent="0.2">
      <c r="A175" s="99">
        <v>4022</v>
      </c>
      <c r="B175" s="100"/>
      <c r="C175" s="101" t="s">
        <v>941</v>
      </c>
      <c r="D175" s="149"/>
      <c r="E175" s="31">
        <v>12559260</v>
      </c>
      <c r="F175" s="31">
        <v>5824328.5853603128</v>
      </c>
      <c r="G175" s="202"/>
      <c r="H175" s="202"/>
      <c r="I175" s="202" t="s">
        <v>845</v>
      </c>
      <c r="J175" s="202" t="s">
        <v>845</v>
      </c>
      <c r="K175" s="155"/>
    </row>
    <row r="176" spans="1:11" x14ac:dyDescent="0.2">
      <c r="A176" s="99">
        <v>4023</v>
      </c>
      <c r="B176" s="100"/>
      <c r="C176" s="101" t="s">
        <v>943</v>
      </c>
      <c r="D176" s="149"/>
      <c r="E176" s="31">
        <v>8651484</v>
      </c>
      <c r="F176" s="31">
        <v>674455.07486983307</v>
      </c>
      <c r="G176" s="202"/>
      <c r="H176" s="202"/>
      <c r="I176" s="202" t="s">
        <v>845</v>
      </c>
      <c r="J176" s="202" t="s">
        <v>845</v>
      </c>
      <c r="K176" s="155"/>
    </row>
    <row r="177" spans="1:11" x14ac:dyDescent="0.2">
      <c r="A177" s="99">
        <v>4024</v>
      </c>
      <c r="B177" s="100"/>
      <c r="C177" s="101" t="s">
        <v>945</v>
      </c>
      <c r="D177" s="149"/>
      <c r="E177" s="31">
        <v>4412468</v>
      </c>
      <c r="F177" s="31">
        <v>361148.61303739442</v>
      </c>
      <c r="G177" s="202"/>
      <c r="H177" s="202"/>
      <c r="I177" s="202" t="s">
        <v>845</v>
      </c>
      <c r="J177" s="202" t="s">
        <v>845</v>
      </c>
      <c r="K177" s="155"/>
    </row>
    <row r="178" spans="1:11" x14ac:dyDescent="0.2">
      <c r="A178" s="99">
        <v>4025</v>
      </c>
      <c r="B178" s="100"/>
      <c r="C178" s="101" t="s">
        <v>947</v>
      </c>
      <c r="D178" s="149"/>
      <c r="E178" s="31">
        <v>22783317</v>
      </c>
      <c r="F178" s="31">
        <v>17495363.344292749</v>
      </c>
      <c r="G178" s="202"/>
      <c r="H178" s="202"/>
      <c r="I178" s="202" t="s">
        <v>845</v>
      </c>
      <c r="J178" s="202" t="s">
        <v>845</v>
      </c>
      <c r="K178" s="155"/>
    </row>
    <row r="179" spans="1:11" x14ac:dyDescent="0.2">
      <c r="A179" s="99">
        <v>4026</v>
      </c>
      <c r="B179" s="100"/>
      <c r="C179" s="101" t="s">
        <v>949</v>
      </c>
      <c r="D179" s="149"/>
      <c r="E179" s="31">
        <v>13966784</v>
      </c>
      <c r="F179" s="31">
        <v>973632.92132353899</v>
      </c>
      <c r="G179" s="202"/>
      <c r="H179" s="202"/>
      <c r="I179" s="202" t="s">
        <v>845</v>
      </c>
      <c r="J179" s="202" t="s">
        <v>845</v>
      </c>
      <c r="K179" s="155"/>
    </row>
    <row r="180" spans="1:11" x14ac:dyDescent="0.2">
      <c r="A180" s="99">
        <v>4027</v>
      </c>
      <c r="B180" s="100"/>
      <c r="C180" s="101" t="s">
        <v>951</v>
      </c>
      <c r="D180" s="149"/>
      <c r="E180" s="31">
        <v>3080959</v>
      </c>
      <c r="F180" s="31">
        <v>2795640.6273195329</v>
      </c>
      <c r="G180" s="202"/>
      <c r="H180" s="202"/>
      <c r="I180" s="202" t="s">
        <v>845</v>
      </c>
      <c r="J180" s="202" t="s">
        <v>845</v>
      </c>
      <c r="K180" s="155"/>
    </row>
    <row r="181" spans="1:11" x14ac:dyDescent="0.2">
      <c r="A181" s="99">
        <v>4028</v>
      </c>
      <c r="B181" s="100"/>
      <c r="C181" s="101" t="s">
        <v>265</v>
      </c>
      <c r="D181" s="149"/>
      <c r="E181" s="31">
        <v>8927891</v>
      </c>
      <c r="F181" s="31">
        <v>780798.44880723814</v>
      </c>
      <c r="G181" s="202"/>
      <c r="H181" s="202"/>
      <c r="I181" s="202" t="s">
        <v>845</v>
      </c>
      <c r="J181" s="202" t="s">
        <v>845</v>
      </c>
      <c r="K181" s="155"/>
    </row>
    <row r="182" spans="1:11" x14ac:dyDescent="0.2">
      <c r="A182" s="99">
        <v>4029</v>
      </c>
      <c r="B182" s="100"/>
      <c r="C182" s="101" t="s">
        <v>953</v>
      </c>
      <c r="D182" s="149"/>
      <c r="E182" s="31">
        <v>23657160</v>
      </c>
      <c r="F182" s="31">
        <v>8564710.5724678878</v>
      </c>
      <c r="G182" s="202"/>
      <c r="H182" s="202"/>
      <c r="I182" s="202" t="s">
        <v>845</v>
      </c>
      <c r="J182" s="202" t="s">
        <v>845</v>
      </c>
      <c r="K182" s="155"/>
    </row>
    <row r="183" spans="1:11" x14ac:dyDescent="0.2">
      <c r="A183" s="99">
        <v>413302</v>
      </c>
      <c r="B183" s="100"/>
      <c r="C183" s="101" t="s">
        <v>823</v>
      </c>
      <c r="D183" s="149"/>
      <c r="E183" s="31">
        <v>58015564</v>
      </c>
      <c r="F183" s="31">
        <v>30878751.4834163</v>
      </c>
      <c r="G183" s="31">
        <v>0</v>
      </c>
      <c r="H183" s="31">
        <v>171875104.4346076</v>
      </c>
      <c r="I183" s="31">
        <v>0</v>
      </c>
      <c r="J183" s="31">
        <f>E183+F183+G183+H183-I183</f>
        <v>260769419.91802388</v>
      </c>
      <c r="K183" s="103" t="e">
        <f>J183/J$140*100</f>
        <v>#REF!</v>
      </c>
    </row>
    <row r="184" spans="1:11" x14ac:dyDescent="0.2">
      <c r="A184" s="82"/>
      <c r="B184" s="94"/>
      <c r="C184" s="95"/>
      <c r="D184" s="145"/>
      <c r="E184" s="34"/>
      <c r="F184" s="34"/>
      <c r="G184" s="34"/>
      <c r="H184" s="34"/>
      <c r="I184" s="34"/>
      <c r="J184" s="34"/>
      <c r="K184" s="105"/>
    </row>
    <row r="185" spans="1:11" x14ac:dyDescent="0.2">
      <c r="A185" s="99">
        <v>403</v>
      </c>
      <c r="B185" s="100"/>
      <c r="C185" s="101" t="s">
        <v>957</v>
      </c>
      <c r="D185" s="149"/>
      <c r="E185" s="31">
        <f>SUM(E186:E190)</f>
        <v>50914320</v>
      </c>
      <c r="F185" s="31">
        <f>SUM(F186:F190)</f>
        <v>941213.55473713658</v>
      </c>
      <c r="G185" s="31">
        <f>SUM(G186:G190)</f>
        <v>1500000</v>
      </c>
      <c r="H185" s="31">
        <f>SUM(H186:H190)</f>
        <v>400000</v>
      </c>
      <c r="I185" s="31">
        <f>SUM(I186:I190)</f>
        <v>0</v>
      </c>
      <c r="J185" s="31">
        <f>E185+F185+G185+H185-I185</f>
        <v>53755533.554737136</v>
      </c>
      <c r="K185" s="103" t="e">
        <f t="shared" ref="K185:K190" si="17">J185/J$140*100</f>
        <v>#REF!</v>
      </c>
    </row>
    <row r="186" spans="1:11" x14ac:dyDescent="0.2">
      <c r="A186" s="99">
        <v>4030</v>
      </c>
      <c r="B186" s="100"/>
      <c r="C186" s="101" t="s">
        <v>959</v>
      </c>
      <c r="D186" s="149"/>
      <c r="E186" s="31">
        <v>0</v>
      </c>
      <c r="F186" s="31">
        <v>0</v>
      </c>
      <c r="G186" s="31">
        <v>0</v>
      </c>
      <c r="H186" s="31">
        <v>0</v>
      </c>
      <c r="I186" s="31"/>
      <c r="J186" s="31">
        <f>E186+F186+G186+H186</f>
        <v>0</v>
      </c>
      <c r="K186" s="103" t="e">
        <f t="shared" si="17"/>
        <v>#REF!</v>
      </c>
    </row>
    <row r="187" spans="1:11" x14ac:dyDescent="0.2">
      <c r="A187" s="99">
        <v>4031</v>
      </c>
      <c r="B187" s="100"/>
      <c r="C187" s="101" t="s">
        <v>961</v>
      </c>
      <c r="D187" s="149"/>
      <c r="E187" s="31">
        <v>9418375</v>
      </c>
      <c r="F187" s="31">
        <v>711277.1882858926</v>
      </c>
      <c r="G187" s="31">
        <v>1500000</v>
      </c>
      <c r="H187" s="31">
        <v>400000</v>
      </c>
      <c r="I187" s="31"/>
      <c r="J187" s="31">
        <f>E187+F187+G187+H187</f>
        <v>12029652.188285893</v>
      </c>
      <c r="K187" s="103" t="e">
        <f t="shared" si="17"/>
        <v>#REF!</v>
      </c>
    </row>
    <row r="188" spans="1:11" x14ac:dyDescent="0.2">
      <c r="A188" s="99">
        <v>4032</v>
      </c>
      <c r="B188" s="100"/>
      <c r="C188" s="101" t="s">
        <v>963</v>
      </c>
      <c r="D188" s="149"/>
      <c r="E188" s="31">
        <v>188594</v>
      </c>
      <c r="F188" s="31">
        <v>23091.762730000002</v>
      </c>
      <c r="G188" s="31">
        <v>0</v>
      </c>
      <c r="H188" s="31">
        <v>0</v>
      </c>
      <c r="I188" s="31"/>
      <c r="J188" s="31">
        <f>E188+F188+G188+H188</f>
        <v>211685.76273000002</v>
      </c>
      <c r="K188" s="103" t="e">
        <f t="shared" si="17"/>
        <v>#REF!</v>
      </c>
    </row>
    <row r="189" spans="1:11" x14ac:dyDescent="0.2">
      <c r="A189" s="99">
        <v>4033</v>
      </c>
      <c r="B189" s="100"/>
      <c r="C189" s="101" t="s">
        <v>965</v>
      </c>
      <c r="D189" s="149"/>
      <c r="E189" s="31">
        <v>1251</v>
      </c>
      <c r="F189" s="31">
        <v>193976.75879124398</v>
      </c>
      <c r="G189" s="31">
        <v>0</v>
      </c>
      <c r="H189" s="31">
        <v>0</v>
      </c>
      <c r="I189" s="31"/>
      <c r="J189" s="31">
        <f>E189+F189+G189+H189</f>
        <v>195227.75879124398</v>
      </c>
      <c r="K189" s="103" t="e">
        <f t="shared" si="17"/>
        <v>#REF!</v>
      </c>
    </row>
    <row r="190" spans="1:11" x14ac:dyDescent="0.2">
      <c r="A190" s="99">
        <v>4034</v>
      </c>
      <c r="B190" s="100"/>
      <c r="C190" s="101" t="s">
        <v>967</v>
      </c>
      <c r="D190" s="149"/>
      <c r="E190" s="31">
        <v>41306100</v>
      </c>
      <c r="F190" s="31">
        <v>12867.844929999999</v>
      </c>
      <c r="G190" s="31">
        <v>0</v>
      </c>
      <c r="H190" s="31">
        <v>0</v>
      </c>
      <c r="I190" s="31"/>
      <c r="J190" s="31">
        <f>E190+F190+G190+H190</f>
        <v>41318967.844930001</v>
      </c>
      <c r="K190" s="103" t="e">
        <f t="shared" si="17"/>
        <v>#REF!</v>
      </c>
    </row>
    <row r="191" spans="1:11" x14ac:dyDescent="0.2">
      <c r="A191" s="82"/>
      <c r="B191" s="94"/>
      <c r="C191" s="95"/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99">
        <v>404</v>
      </c>
      <c r="B192" s="100"/>
      <c r="C192" s="101" t="s">
        <v>969</v>
      </c>
      <c r="D192" s="149"/>
      <c r="E192" s="31">
        <f>SUM(E193:E197)</f>
        <v>32292610</v>
      </c>
      <c r="F192" s="31">
        <f>SUM(F193:F196)</f>
        <v>0</v>
      </c>
      <c r="G192" s="31">
        <f>SUM(G193:G196)</f>
        <v>0</v>
      </c>
      <c r="H192" s="31">
        <v>0</v>
      </c>
      <c r="I192" s="31">
        <f>SUM(I193:I196)</f>
        <v>0</v>
      </c>
      <c r="J192" s="31">
        <f>E192+F192+G192+H192-I192</f>
        <v>32292610</v>
      </c>
      <c r="K192" s="103" t="e">
        <f>J192/J$140*100</f>
        <v>#REF!</v>
      </c>
    </row>
    <row r="193" spans="1:11" x14ac:dyDescent="0.2">
      <c r="A193" s="99">
        <v>4040</v>
      </c>
      <c r="B193" s="100"/>
      <c r="C193" s="101" t="s">
        <v>971</v>
      </c>
      <c r="D193" s="149"/>
      <c r="E193" s="31">
        <v>3669774</v>
      </c>
      <c r="F193" s="31">
        <v>0</v>
      </c>
      <c r="G193" s="31">
        <v>0</v>
      </c>
      <c r="H193" s="31">
        <v>0</v>
      </c>
      <c r="I193" s="31"/>
      <c r="J193" s="31">
        <f>E193+F193+G193+H193</f>
        <v>3669774</v>
      </c>
      <c r="K193" s="103"/>
    </row>
    <row r="194" spans="1:11" x14ac:dyDescent="0.2">
      <c r="A194" s="99">
        <v>4041</v>
      </c>
      <c r="B194" s="100"/>
      <c r="C194" s="101" t="s">
        <v>973</v>
      </c>
      <c r="D194" s="149"/>
      <c r="E194" s="31">
        <v>10387</v>
      </c>
      <c r="F194" s="31">
        <v>0</v>
      </c>
      <c r="G194" s="31">
        <v>0</v>
      </c>
      <c r="H194" s="31">
        <v>0</v>
      </c>
      <c r="I194" s="31"/>
      <c r="J194" s="31">
        <f>E194+F194+G194+H194</f>
        <v>10387</v>
      </c>
      <c r="K194" s="103" t="e">
        <f>J194/J$140*100</f>
        <v>#REF!</v>
      </c>
    </row>
    <row r="195" spans="1:11" x14ac:dyDescent="0.2">
      <c r="A195" s="99">
        <v>4042</v>
      </c>
      <c r="B195" s="100"/>
      <c r="C195" s="101" t="s">
        <v>975</v>
      </c>
      <c r="D195" s="149"/>
      <c r="E195" s="31">
        <v>1624761</v>
      </c>
      <c r="F195" s="31">
        <v>0</v>
      </c>
      <c r="G195" s="31">
        <v>0</v>
      </c>
      <c r="H195" s="31">
        <v>0</v>
      </c>
      <c r="I195" s="31"/>
      <c r="J195" s="31">
        <f>E195+F195+G195+H195</f>
        <v>1624761</v>
      </c>
      <c r="K195" s="103" t="e">
        <f>J195/J$140*100</f>
        <v>#REF!</v>
      </c>
    </row>
    <row r="196" spans="1:11" x14ac:dyDescent="0.2">
      <c r="A196" s="99">
        <v>4043</v>
      </c>
      <c r="B196" s="100"/>
      <c r="C196" s="101" t="s">
        <v>977</v>
      </c>
      <c r="D196" s="149"/>
      <c r="E196" s="31">
        <v>0</v>
      </c>
      <c r="F196" s="31">
        <v>0</v>
      </c>
      <c r="G196" s="31">
        <v>0</v>
      </c>
      <c r="H196" s="31">
        <v>0</v>
      </c>
      <c r="I196" s="31"/>
      <c r="J196" s="31">
        <f>E196+F196+G196+H196</f>
        <v>0</v>
      </c>
      <c r="K196" s="103" t="e">
        <f>J196/J$140*100</f>
        <v>#REF!</v>
      </c>
    </row>
    <row r="197" spans="1:11" x14ac:dyDescent="0.2">
      <c r="A197" s="99">
        <v>4044</v>
      </c>
      <c r="B197" s="100"/>
      <c r="C197" s="101" t="s">
        <v>834</v>
      </c>
      <c r="D197" s="149"/>
      <c r="E197" s="31">
        <v>26987688</v>
      </c>
      <c r="F197" s="31">
        <v>0</v>
      </c>
      <c r="G197" s="31">
        <v>0</v>
      </c>
      <c r="H197" s="31">
        <v>0</v>
      </c>
      <c r="I197" s="31"/>
      <c r="J197" s="31">
        <f>E197+F197+G197+H197</f>
        <v>26987688</v>
      </c>
      <c r="K197" s="103" t="e">
        <f>J197/J$140*100</f>
        <v>#REF!</v>
      </c>
    </row>
    <row r="198" spans="1:11" x14ac:dyDescent="0.2">
      <c r="A198" s="82"/>
      <c r="B198" s="94"/>
      <c r="C198" s="95"/>
      <c r="D198" s="145"/>
      <c r="E198" s="34"/>
      <c r="F198" s="34"/>
      <c r="G198" s="34"/>
      <c r="H198" s="34"/>
      <c r="I198" s="34"/>
      <c r="J198" s="34"/>
      <c r="K198" s="105"/>
    </row>
    <row r="199" spans="1:11" x14ac:dyDescent="0.2">
      <c r="A199" s="99">
        <v>409</v>
      </c>
      <c r="B199" s="100"/>
      <c r="C199" s="101" t="s">
        <v>979</v>
      </c>
      <c r="D199" s="149"/>
      <c r="E199" s="31">
        <f>+E200+E201+E202+E203</f>
        <v>12613673</v>
      </c>
      <c r="F199" s="31">
        <f>+F200+F201+F202+F203</f>
        <v>1458521.137896077</v>
      </c>
      <c r="G199" s="31">
        <f>+G200+G201+G202+G203</f>
        <v>0</v>
      </c>
      <c r="H199" s="31">
        <f>+H200+H201+H202+H203</f>
        <v>0</v>
      </c>
      <c r="I199" s="31">
        <f>+I200+I201+I202+I203</f>
        <v>0</v>
      </c>
      <c r="J199" s="31">
        <f>E199+F199+G199+H199-I199</f>
        <v>14072194.137896078</v>
      </c>
      <c r="K199" s="103" t="e">
        <f>J199/J$140*100</f>
        <v>#REF!</v>
      </c>
    </row>
    <row r="200" spans="1:11" x14ac:dyDescent="0.2">
      <c r="A200" s="99">
        <v>4090</v>
      </c>
      <c r="B200" s="100"/>
      <c r="C200" s="101" t="s">
        <v>981</v>
      </c>
      <c r="D200" s="149"/>
      <c r="E200" s="31">
        <v>3839733</v>
      </c>
      <c r="F200" s="31"/>
      <c r="G200" s="31">
        <v>0</v>
      </c>
      <c r="H200" s="31">
        <v>0</v>
      </c>
      <c r="I200" s="31"/>
      <c r="J200" s="31">
        <f>E200+F200+G200+H200-I200</f>
        <v>3839733</v>
      </c>
      <c r="K200" s="103" t="e">
        <f>J200/J$140*100</f>
        <v>#REF!</v>
      </c>
    </row>
    <row r="201" spans="1:11" x14ac:dyDescent="0.2">
      <c r="A201" s="99">
        <v>4091</v>
      </c>
      <c r="B201" s="100"/>
      <c r="C201" s="101" t="s">
        <v>983</v>
      </c>
      <c r="D201" s="149"/>
      <c r="E201" s="31">
        <v>3900000</v>
      </c>
      <c r="F201" s="31">
        <v>1458521.137896077</v>
      </c>
      <c r="G201" s="31">
        <v>0</v>
      </c>
      <c r="H201" s="31">
        <v>0</v>
      </c>
      <c r="I201" s="31"/>
      <c r="J201" s="31">
        <f>E201+F201+G201+H201-I201</f>
        <v>5358521.1378960768</v>
      </c>
      <c r="K201" s="103" t="e">
        <f>J201/J$140*100</f>
        <v>#REF!</v>
      </c>
    </row>
    <row r="202" spans="1:11" x14ac:dyDescent="0.2">
      <c r="A202" s="99">
        <v>4092</v>
      </c>
      <c r="B202" s="100"/>
      <c r="C202" s="101" t="s">
        <v>985</v>
      </c>
      <c r="D202" s="149"/>
      <c r="E202" s="31">
        <v>4873940</v>
      </c>
      <c r="F202" s="31"/>
      <c r="G202" s="31">
        <v>0</v>
      </c>
      <c r="H202" s="31">
        <v>0</v>
      </c>
      <c r="I202" s="31"/>
      <c r="J202" s="31">
        <f>E202+F202+G202+H202-I202</f>
        <v>4873940</v>
      </c>
      <c r="K202" s="103"/>
    </row>
    <row r="203" spans="1:11" x14ac:dyDescent="0.2">
      <c r="A203" s="99">
        <v>4093</v>
      </c>
      <c r="B203" s="100"/>
      <c r="C203" s="101" t="s">
        <v>875</v>
      </c>
      <c r="D203" s="149"/>
      <c r="E203" s="31"/>
      <c r="F203" s="31"/>
      <c r="G203" s="31"/>
      <c r="H203" s="31"/>
      <c r="I203" s="31"/>
      <c r="J203" s="31">
        <f>E203+F203+G203+H203-I203</f>
        <v>0</v>
      </c>
      <c r="K203" s="103"/>
    </row>
    <row r="204" spans="1:11" x14ac:dyDescent="0.2">
      <c r="A204" s="82"/>
      <c r="B204" s="94"/>
      <c r="C204" s="95"/>
      <c r="D204" s="145"/>
      <c r="E204" s="34"/>
      <c r="F204" s="34"/>
      <c r="G204" s="34"/>
      <c r="H204" s="34"/>
      <c r="I204" s="34"/>
      <c r="J204" s="34"/>
      <c r="K204" s="105"/>
    </row>
    <row r="205" spans="1:11" ht="15.75" x14ac:dyDescent="0.25">
      <c r="A205" s="88">
        <v>41</v>
      </c>
      <c r="B205" s="89"/>
      <c r="C205" s="90" t="s">
        <v>987</v>
      </c>
      <c r="D205" s="146"/>
      <c r="E205" s="32">
        <f>E208+E213+E224+E228+E241</f>
        <v>601415061</v>
      </c>
      <c r="F205" s="32">
        <f>F208+F213+F224+F228+F241</f>
        <v>69017356.303358808</v>
      </c>
      <c r="G205" s="32">
        <f>G208+G213+G224+G228+G241</f>
        <v>826721157.2562145</v>
      </c>
      <c r="H205" s="32">
        <f>H208+H213+H224+H228+H241</f>
        <v>48193112</v>
      </c>
      <c r="I205" s="32">
        <f>I208+I213+I224+I228+I241</f>
        <v>367430279.82780981</v>
      </c>
      <c r="J205" s="32">
        <f>E205+F205+G205+H205-I205</f>
        <v>1177916406.7317634</v>
      </c>
      <c r="K205" s="92" t="e">
        <f>J205/J$140*100</f>
        <v>#REF!</v>
      </c>
    </row>
    <row r="206" spans="1:11" x14ac:dyDescent="0.2">
      <c r="A206" s="147"/>
      <c r="B206" s="148"/>
      <c r="C206" s="96" t="s">
        <v>989</v>
      </c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82"/>
      <c r="B207" s="94"/>
      <c r="C207" s="95"/>
      <c r="D207" s="145"/>
      <c r="E207" s="34"/>
      <c r="F207" s="34"/>
      <c r="G207" s="34"/>
      <c r="H207" s="34"/>
      <c r="I207" s="34"/>
      <c r="J207" s="34"/>
      <c r="K207" s="105"/>
    </row>
    <row r="208" spans="1:11" x14ac:dyDescent="0.2">
      <c r="A208" s="99">
        <v>410</v>
      </c>
      <c r="B208" s="100"/>
      <c r="C208" s="101" t="s">
        <v>990</v>
      </c>
      <c r="D208" s="149"/>
      <c r="E208" s="31">
        <f>E209+E210+E211</f>
        <v>74235298</v>
      </c>
      <c r="F208" s="31">
        <f>F209+F210+F211</f>
        <v>7924052.6683424357</v>
      </c>
      <c r="G208" s="31">
        <f>G209+G210+G211</f>
        <v>0</v>
      </c>
      <c r="H208" s="31">
        <f>H209+H210+H211</f>
        <v>0</v>
      </c>
      <c r="I208" s="31">
        <f>I209+I210+I211</f>
        <v>0</v>
      </c>
      <c r="J208" s="31">
        <f>E208+F208+G208+H208-I208</f>
        <v>82159350.668342441</v>
      </c>
      <c r="K208" s="103" t="e">
        <f>J208/J$140*100</f>
        <v>#REF!</v>
      </c>
    </row>
    <row r="209" spans="1:11" x14ac:dyDescent="0.2">
      <c r="A209" s="99">
        <v>4100</v>
      </c>
      <c r="B209" s="100"/>
      <c r="C209" s="101" t="s">
        <v>992</v>
      </c>
      <c r="D209" s="149"/>
      <c r="E209" s="31">
        <v>14789174</v>
      </c>
      <c r="F209" s="31">
        <v>1784115.0620601291</v>
      </c>
      <c r="G209" s="31">
        <v>0</v>
      </c>
      <c r="H209" s="31">
        <v>0</v>
      </c>
      <c r="I209" s="31"/>
      <c r="J209" s="31">
        <f>E209+F209+G209+H209</f>
        <v>16573289.062060129</v>
      </c>
      <c r="K209" s="103" t="e">
        <f>J209/J$140*100</f>
        <v>#REF!</v>
      </c>
    </row>
    <row r="210" spans="1:11" x14ac:dyDescent="0.2">
      <c r="A210" s="99">
        <v>4101</v>
      </c>
      <c r="B210" s="100"/>
      <c r="C210" s="101" t="s">
        <v>994</v>
      </c>
      <c r="D210" s="149"/>
      <c r="E210" s="31">
        <v>0</v>
      </c>
      <c r="F210" s="31">
        <v>0</v>
      </c>
      <c r="G210" s="31">
        <v>0</v>
      </c>
      <c r="H210" s="31">
        <v>0</v>
      </c>
      <c r="I210" s="31"/>
      <c r="J210" s="31">
        <f>E210+F210+G210+H210</f>
        <v>0</v>
      </c>
      <c r="K210" s="103" t="e">
        <f>J210/J$140*100</f>
        <v>#REF!</v>
      </c>
    </row>
    <row r="211" spans="1:11" x14ac:dyDescent="0.2">
      <c r="A211" s="99">
        <v>4102</v>
      </c>
      <c r="B211" s="100"/>
      <c r="C211" s="101" t="s">
        <v>996</v>
      </c>
      <c r="D211" s="149"/>
      <c r="E211" s="31">
        <v>59446124</v>
      </c>
      <c r="F211" s="31">
        <v>6139937.6062823068</v>
      </c>
      <c r="G211" s="31">
        <v>0</v>
      </c>
      <c r="H211" s="31">
        <v>0</v>
      </c>
      <c r="I211" s="31"/>
      <c r="J211" s="31">
        <f>E211+F211+G211+H211</f>
        <v>65586061.606282309</v>
      </c>
      <c r="K211" s="103" t="e">
        <f>J211/J$140*100</f>
        <v>#REF!</v>
      </c>
    </row>
    <row r="212" spans="1:11" x14ac:dyDescent="0.2">
      <c r="A212" s="82"/>
      <c r="B212" s="94"/>
      <c r="C212" s="95"/>
      <c r="D212" s="145"/>
      <c r="E212" s="34"/>
      <c r="F212" s="34"/>
      <c r="G212" s="34"/>
      <c r="H212" s="34"/>
      <c r="I212" s="34"/>
      <c r="J212" s="34"/>
      <c r="K212" s="105"/>
    </row>
    <row r="213" spans="1:11" x14ac:dyDescent="0.2">
      <c r="A213" s="99">
        <v>411</v>
      </c>
      <c r="B213" s="100"/>
      <c r="C213" s="101" t="s">
        <v>998</v>
      </c>
      <c r="D213" s="149"/>
      <c r="E213" s="31">
        <f>SUM(E214:E222)</f>
        <v>213901792</v>
      </c>
      <c r="F213" s="31">
        <f>SUM(F214:F222)</f>
        <v>36378317.530022249</v>
      </c>
      <c r="G213" s="31">
        <f>SUM(G214:G222)</f>
        <v>761603356.76456499</v>
      </c>
      <c r="H213" s="31">
        <f>SUM(H214:H222)</f>
        <v>44465816</v>
      </c>
      <c r="I213" s="31">
        <f>SUM(I214:I222)</f>
        <v>3571855.0671237963</v>
      </c>
      <c r="J213" s="31">
        <f>E213+F213+G213+H213-I213</f>
        <v>1052777427.2274635</v>
      </c>
      <c r="K213" s="103" t="e">
        <f t="shared" ref="K213:K222" si="18">J213/J$140*100</f>
        <v>#REF!</v>
      </c>
    </row>
    <row r="214" spans="1:11" x14ac:dyDescent="0.2">
      <c r="A214" s="99">
        <v>4110</v>
      </c>
      <c r="B214" s="100"/>
      <c r="C214" s="101" t="s">
        <v>1000</v>
      </c>
      <c r="D214" s="149"/>
      <c r="E214" s="31">
        <v>24453426</v>
      </c>
      <c r="F214" s="31">
        <v>124563.67916358411</v>
      </c>
      <c r="G214" s="31">
        <v>0</v>
      </c>
      <c r="H214" s="31">
        <v>0</v>
      </c>
      <c r="I214" s="429">
        <v>3571855.0671237963</v>
      </c>
      <c r="J214" s="109">
        <f>E214+F214+G214+H214-I214</f>
        <v>21006134.612039786</v>
      </c>
      <c r="K214" s="103" t="e">
        <f t="shared" si="18"/>
        <v>#REF!</v>
      </c>
    </row>
    <row r="215" spans="1:11" x14ac:dyDescent="0.2">
      <c r="A215" s="99">
        <v>4111</v>
      </c>
      <c r="B215" s="100"/>
      <c r="C215" s="101" t="s">
        <v>1002</v>
      </c>
      <c r="D215" s="149"/>
      <c r="E215" s="31">
        <v>104121115</v>
      </c>
      <c r="F215" s="31">
        <v>180497.73414399996</v>
      </c>
      <c r="G215" s="31">
        <v>0</v>
      </c>
      <c r="H215" s="31">
        <v>0</v>
      </c>
      <c r="I215" s="31"/>
      <c r="J215" s="109">
        <f>E215+F215+G215+H215-I215</f>
        <v>104301612.734144</v>
      </c>
      <c r="K215" s="103" t="e">
        <f t="shared" si="18"/>
        <v>#REF!</v>
      </c>
    </row>
    <row r="216" spans="1:11" x14ac:dyDescent="0.2">
      <c r="A216" s="99">
        <v>4112</v>
      </c>
      <c r="B216" s="100"/>
      <c r="C216" s="101" t="s">
        <v>1004</v>
      </c>
      <c r="D216" s="149"/>
      <c r="E216" s="31">
        <v>30261000</v>
      </c>
      <c r="F216" s="31">
        <v>577754.07888000004</v>
      </c>
      <c r="G216" s="31">
        <v>37872729.243147314</v>
      </c>
      <c r="H216" s="31">
        <v>0</v>
      </c>
      <c r="I216" s="31"/>
      <c r="J216" s="31">
        <f>E216+F216+G216+H216</f>
        <v>68711483.322027311</v>
      </c>
      <c r="K216" s="103" t="e">
        <f t="shared" si="18"/>
        <v>#REF!</v>
      </c>
    </row>
    <row r="217" spans="1:11" x14ac:dyDescent="0.2">
      <c r="A217" s="99">
        <v>4113</v>
      </c>
      <c r="B217" s="100"/>
      <c r="C217" s="101" t="s">
        <v>1006</v>
      </c>
      <c r="D217" s="149"/>
      <c r="E217" s="31">
        <v>19816000</v>
      </c>
      <c r="F217" s="31">
        <v>5207.9584479999994</v>
      </c>
      <c r="G217" s="31">
        <v>0</v>
      </c>
      <c r="H217" s="31">
        <v>0</v>
      </c>
      <c r="I217" s="31"/>
      <c r="J217" s="31">
        <f>E217+F217+G217+H217</f>
        <v>19821207.958448</v>
      </c>
      <c r="K217" s="103" t="e">
        <f t="shared" si="18"/>
        <v>#REF!</v>
      </c>
    </row>
    <row r="218" spans="1:11" x14ac:dyDescent="0.2">
      <c r="A218" s="99">
        <v>4114</v>
      </c>
      <c r="B218" s="100"/>
      <c r="C218" s="101" t="s">
        <v>1008</v>
      </c>
      <c r="D218" s="149"/>
      <c r="E218" s="31">
        <v>0</v>
      </c>
      <c r="F218" s="31">
        <v>0</v>
      </c>
      <c r="G218" s="31">
        <v>685376379.39056706</v>
      </c>
      <c r="H218" s="31">
        <v>0</v>
      </c>
      <c r="I218" s="31"/>
      <c r="J218" s="31">
        <f>E218+F218+G218+H218</f>
        <v>685376379.39056706</v>
      </c>
      <c r="K218" s="103" t="e">
        <f t="shared" si="18"/>
        <v>#REF!</v>
      </c>
    </row>
    <row r="219" spans="1:11" x14ac:dyDescent="0.2">
      <c r="A219" s="99">
        <v>4115</v>
      </c>
      <c r="B219" s="100"/>
      <c r="C219" s="101" t="s">
        <v>1010</v>
      </c>
      <c r="D219" s="149"/>
      <c r="E219" s="31">
        <v>7000</v>
      </c>
      <c r="F219" s="31">
        <v>0</v>
      </c>
      <c r="G219" s="31">
        <v>38331154.448478609</v>
      </c>
      <c r="H219" s="31">
        <v>0</v>
      </c>
      <c r="I219" s="31"/>
      <c r="J219" s="31">
        <f>E219+F219+G219+H219</f>
        <v>38338154.448478609</v>
      </c>
      <c r="K219" s="103" t="e">
        <f t="shared" si="18"/>
        <v>#REF!</v>
      </c>
    </row>
    <row r="220" spans="1:11" x14ac:dyDescent="0.2">
      <c r="A220" s="99">
        <v>4116</v>
      </c>
      <c r="B220" s="100"/>
      <c r="C220" s="101" t="s">
        <v>1012</v>
      </c>
      <c r="D220" s="149"/>
      <c r="E220" s="31">
        <v>0</v>
      </c>
      <c r="F220" s="31">
        <v>0</v>
      </c>
      <c r="G220" s="31">
        <v>0</v>
      </c>
      <c r="H220" s="31">
        <v>41820054</v>
      </c>
      <c r="I220" s="31"/>
      <c r="J220" s="109">
        <f>E220+F220+G220+H220-I220</f>
        <v>41820054</v>
      </c>
      <c r="K220" s="103" t="e">
        <f t="shared" si="18"/>
        <v>#REF!</v>
      </c>
    </row>
    <row r="221" spans="1:11" x14ac:dyDescent="0.2">
      <c r="A221" s="99">
        <v>4117</v>
      </c>
      <c r="B221" s="100"/>
      <c r="C221" s="101" t="s">
        <v>1014</v>
      </c>
      <c r="D221" s="149"/>
      <c r="E221" s="31">
        <v>22855890</v>
      </c>
      <c r="F221" s="31">
        <v>197950.92056670075</v>
      </c>
      <c r="G221" s="31">
        <v>5414</v>
      </c>
      <c r="H221" s="31">
        <v>0</v>
      </c>
      <c r="I221" s="31"/>
      <c r="J221" s="31">
        <f>E221+F221+G221+H221</f>
        <v>23059254.9205667</v>
      </c>
      <c r="K221" s="103" t="e">
        <f t="shared" si="18"/>
        <v>#REF!</v>
      </c>
    </row>
    <row r="222" spans="1:11" x14ac:dyDescent="0.2">
      <c r="A222" s="99">
        <v>4119</v>
      </c>
      <c r="B222" s="100"/>
      <c r="C222" s="101" t="s">
        <v>1016</v>
      </c>
      <c r="D222" s="149"/>
      <c r="E222" s="31">
        <v>12387361</v>
      </c>
      <c r="F222" s="31">
        <v>35292343.158819966</v>
      </c>
      <c r="G222" s="31">
        <v>17679.682372000003</v>
      </c>
      <c r="H222" s="31">
        <v>2645762</v>
      </c>
      <c r="I222" s="31"/>
      <c r="J222" s="31">
        <f>E222+F222+G222+H222-I222</f>
        <v>50343145.841191962</v>
      </c>
      <c r="K222" s="103" t="e">
        <f t="shared" si="18"/>
        <v>#REF!</v>
      </c>
    </row>
    <row r="223" spans="1:11" x14ac:dyDescent="0.2">
      <c r="A223" s="82"/>
      <c r="B223" s="94"/>
      <c r="C223" s="95"/>
      <c r="D223" s="145"/>
      <c r="E223" s="34"/>
      <c r="F223" s="34"/>
      <c r="G223" s="34"/>
      <c r="H223" s="34"/>
      <c r="I223" s="34"/>
      <c r="J223" s="34"/>
      <c r="K223" s="105"/>
    </row>
    <row r="224" spans="1:11" x14ac:dyDescent="0.2">
      <c r="A224" s="99">
        <v>412</v>
      </c>
      <c r="B224" s="100"/>
      <c r="C224" s="101" t="s">
        <v>0</v>
      </c>
      <c r="D224" s="149"/>
      <c r="E224" s="31">
        <f>E226</f>
        <v>13257772</v>
      </c>
      <c r="F224" s="31">
        <f>F226</f>
        <v>12626081.534063531</v>
      </c>
      <c r="G224" s="31">
        <f>G226</f>
        <v>797254</v>
      </c>
      <c r="H224" s="31">
        <f>H226</f>
        <v>1139104</v>
      </c>
      <c r="I224" s="31">
        <f>I226</f>
        <v>0</v>
      </c>
      <c r="J224" s="31">
        <f>E224+F224+G224+H224-I224</f>
        <v>27820211.534063533</v>
      </c>
      <c r="K224" s="103" t="e">
        <f>J224/J$140*100</f>
        <v>#REF!</v>
      </c>
    </row>
    <row r="225" spans="1:11" x14ac:dyDescent="0.2">
      <c r="A225" s="147"/>
      <c r="B225" s="148"/>
      <c r="C225" s="101" t="s">
        <v>2</v>
      </c>
      <c r="D225" s="145"/>
      <c r="E225" s="34"/>
      <c r="F225" s="34"/>
      <c r="G225" s="34"/>
      <c r="H225" s="34"/>
      <c r="I225" s="34"/>
      <c r="J225" s="34"/>
      <c r="K225" s="105"/>
    </row>
    <row r="226" spans="1:11" x14ac:dyDescent="0.2">
      <c r="A226" s="99">
        <v>4120</v>
      </c>
      <c r="B226" s="100"/>
      <c r="C226" s="101" t="s">
        <v>4</v>
      </c>
      <c r="D226" s="149"/>
      <c r="E226" s="31">
        <v>13257772</v>
      </c>
      <c r="F226" s="31">
        <v>12626081.534063531</v>
      </c>
      <c r="G226" s="31">
        <v>797254</v>
      </c>
      <c r="H226" s="31">
        <v>1139104</v>
      </c>
      <c r="I226" s="31">
        <v>0</v>
      </c>
      <c r="J226" s="31">
        <f>E226+F226+G226+H226</f>
        <v>27820211.534063533</v>
      </c>
      <c r="K226" s="103" t="e">
        <f>J226/J$140*100</f>
        <v>#REF!</v>
      </c>
    </row>
    <row r="227" spans="1:11" x14ac:dyDescent="0.2">
      <c r="A227" s="82"/>
      <c r="B227" s="94"/>
      <c r="C227" s="95"/>
      <c r="D227" s="145"/>
      <c r="E227" s="34"/>
      <c r="F227" s="34"/>
      <c r="G227" s="34"/>
      <c r="H227" s="34"/>
      <c r="I227" s="34"/>
      <c r="J227" s="34"/>
      <c r="K227" s="105"/>
    </row>
    <row r="228" spans="1:11" x14ac:dyDescent="0.2">
      <c r="A228" s="99">
        <v>413</v>
      </c>
      <c r="B228" s="100"/>
      <c r="C228" s="101" t="s">
        <v>6</v>
      </c>
      <c r="D228" s="149"/>
      <c r="E228" s="31">
        <f>+E230+E232+E234+E238</f>
        <v>297223289</v>
      </c>
      <c r="F228" s="31">
        <f>+F230+F232+F234</f>
        <v>12088904.570930593</v>
      </c>
      <c r="G228" s="31">
        <f>+G230+G232+G234</f>
        <v>64320546.491649561</v>
      </c>
      <c r="H228" s="31">
        <f>+H230+H232+H234+H238</f>
        <v>704430</v>
      </c>
      <c r="I228" s="31">
        <f>+I230+I232+I234+I238</f>
        <v>363858424.76068604</v>
      </c>
      <c r="J228" s="31">
        <f>E228+F228+G228+H228-I228</f>
        <v>10478745.301894128</v>
      </c>
      <c r="K228" s="103" t="e">
        <f>J228/J$140*100</f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106">
        <v>4130</v>
      </c>
      <c r="B230" s="107"/>
      <c r="C230" s="108" t="s">
        <v>8</v>
      </c>
      <c r="D230" s="153"/>
      <c r="E230" s="109">
        <v>43453248</v>
      </c>
      <c r="F230" s="109">
        <v>5818680.7003423041</v>
      </c>
      <c r="G230" s="109">
        <v>0</v>
      </c>
      <c r="H230" s="109">
        <v>0</v>
      </c>
      <c r="I230" s="429">
        <v>49753680.362548202</v>
      </c>
      <c r="J230" s="109">
        <f>E230+F230+G230+H230-I230</f>
        <v>-481751.66220589727</v>
      </c>
      <c r="K230" s="103"/>
    </row>
    <row r="231" spans="1:11" x14ac:dyDescent="0.2">
      <c r="A231" s="114"/>
      <c r="B231" s="115"/>
      <c r="C231" s="154"/>
      <c r="D231" s="157"/>
      <c r="E231" s="113"/>
      <c r="F231" s="113"/>
      <c r="G231" s="113"/>
      <c r="H231" s="113"/>
      <c r="I231" s="113"/>
      <c r="J231" s="113"/>
      <c r="K231" s="110"/>
    </row>
    <row r="232" spans="1:11" x14ac:dyDescent="0.2">
      <c r="A232" s="106">
        <v>4131</v>
      </c>
      <c r="B232" s="107"/>
      <c r="C232" s="108" t="s">
        <v>10</v>
      </c>
      <c r="D232" s="153"/>
      <c r="E232" s="109">
        <v>248370724</v>
      </c>
      <c r="F232" s="109">
        <v>3137272.32</v>
      </c>
      <c r="G232" s="109">
        <v>64320546.491649561</v>
      </c>
      <c r="H232" s="109">
        <v>697871</v>
      </c>
      <c r="I232" s="429">
        <v>313995044.39813781</v>
      </c>
      <c r="J232" s="109">
        <f>E232+F232+G232+H232-I232</f>
        <v>2531369.4135117531</v>
      </c>
      <c r="K232" s="104"/>
    </row>
    <row r="233" spans="1:11" x14ac:dyDescent="0.2">
      <c r="A233" s="114"/>
      <c r="B233" s="115"/>
      <c r="C233" s="154"/>
      <c r="D233" s="157"/>
      <c r="E233" s="113"/>
      <c r="F233" s="113"/>
      <c r="G233" s="113"/>
      <c r="H233" s="113"/>
      <c r="I233" s="113"/>
      <c r="J233" s="113"/>
      <c r="K233" s="87"/>
    </row>
    <row r="234" spans="1:11" x14ac:dyDescent="0.2">
      <c r="A234" s="106">
        <v>4132</v>
      </c>
      <c r="B234" s="107"/>
      <c r="C234" s="108" t="s">
        <v>15</v>
      </c>
      <c r="D234" s="153"/>
      <c r="E234" s="109">
        <v>5299957</v>
      </c>
      <c r="F234" s="109">
        <v>3132951.5505882888</v>
      </c>
      <c r="G234" s="109">
        <v>0</v>
      </c>
      <c r="H234" s="109">
        <v>0</v>
      </c>
      <c r="I234" s="429">
        <v>0</v>
      </c>
      <c r="J234" s="109">
        <f>E234+F234+G234+H234-I234</f>
        <v>8432908.5505882893</v>
      </c>
      <c r="K234" s="103"/>
    </row>
    <row r="235" spans="1:11" x14ac:dyDescent="0.2">
      <c r="A235" s="114"/>
      <c r="B235" s="115"/>
      <c r="C235" s="154"/>
      <c r="D235" s="157"/>
      <c r="E235" s="113"/>
      <c r="F235" s="113"/>
      <c r="G235" s="113"/>
      <c r="H235" s="113"/>
      <c r="I235" s="113"/>
      <c r="J235" s="113"/>
      <c r="K235" s="87"/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86"/>
      <c r="J236" s="86"/>
      <c r="K236" s="110"/>
    </row>
    <row r="237" spans="1:11" x14ac:dyDescent="0.2">
      <c r="A237" s="82"/>
      <c r="B237" s="94"/>
      <c r="C237" s="95"/>
      <c r="D237" s="159"/>
      <c r="E237" s="34"/>
      <c r="F237" s="34"/>
      <c r="G237" s="34"/>
      <c r="H237" s="34"/>
      <c r="I237" s="86"/>
      <c r="J237" s="86"/>
      <c r="K237" s="110"/>
    </row>
    <row r="238" spans="1:11" x14ac:dyDescent="0.2">
      <c r="A238" s="106">
        <v>4134</v>
      </c>
      <c r="B238" s="107"/>
      <c r="C238" s="108" t="s">
        <v>840</v>
      </c>
      <c r="D238" s="153"/>
      <c r="E238" s="109">
        <v>99360</v>
      </c>
      <c r="F238" s="109">
        <v>0</v>
      </c>
      <c r="G238" s="109">
        <v>0</v>
      </c>
      <c r="H238" s="109">
        <v>6559</v>
      </c>
      <c r="I238" s="428">
        <v>109700</v>
      </c>
      <c r="J238" s="109">
        <f>E238+F238+G238+H238-I238</f>
        <v>-3781</v>
      </c>
      <c r="K238" s="103"/>
    </row>
    <row r="239" spans="1:11" x14ac:dyDescent="0.2">
      <c r="A239" s="82"/>
      <c r="B239" s="94"/>
      <c r="C239" s="95"/>
      <c r="D239" s="159"/>
      <c r="E239" s="34"/>
      <c r="F239" s="34"/>
      <c r="G239" s="34"/>
      <c r="H239" s="34"/>
      <c r="I239" s="34"/>
      <c r="J239" s="34"/>
      <c r="K239" s="150"/>
    </row>
    <row r="240" spans="1:11" x14ac:dyDescent="0.2">
      <c r="A240" s="82"/>
      <c r="B240" s="94"/>
      <c r="C240" s="95"/>
      <c r="D240" s="145"/>
      <c r="E240" s="34"/>
      <c r="F240" s="34"/>
      <c r="G240" s="34"/>
      <c r="H240" s="34"/>
      <c r="I240" s="34"/>
      <c r="J240" s="34"/>
      <c r="K240" s="105"/>
    </row>
    <row r="241" spans="1:11" x14ac:dyDescent="0.2">
      <c r="A241" s="99">
        <v>414</v>
      </c>
      <c r="B241" s="100"/>
      <c r="C241" s="101" t="s">
        <v>25</v>
      </c>
      <c r="D241" s="149"/>
      <c r="E241" s="31">
        <f>SUM(E242:E245)</f>
        <v>2796910</v>
      </c>
      <c r="F241" s="31">
        <v>0</v>
      </c>
      <c r="G241" s="31">
        <f>SUM(G242:G245)</f>
        <v>0</v>
      </c>
      <c r="H241" s="31">
        <f>SUM(H242:H245)</f>
        <v>1883762</v>
      </c>
      <c r="I241" s="31">
        <f>SUM(I242:I245)</f>
        <v>0</v>
      </c>
      <c r="J241" s="31">
        <f>E241+F241+G241+H241-I241</f>
        <v>4680672</v>
      </c>
      <c r="K241" s="103" t="e">
        <f>J241/J$140*100</f>
        <v>#REF!</v>
      </c>
    </row>
    <row r="242" spans="1:11" x14ac:dyDescent="0.2">
      <c r="A242" s="99">
        <v>4140</v>
      </c>
      <c r="B242" s="100"/>
      <c r="C242" s="101" t="s">
        <v>27</v>
      </c>
      <c r="D242" s="149"/>
      <c r="E242" s="31">
        <v>114930</v>
      </c>
      <c r="F242" s="31">
        <v>0</v>
      </c>
      <c r="G242" s="31">
        <v>0</v>
      </c>
      <c r="H242" s="31">
        <v>0</v>
      </c>
      <c r="I242" s="31"/>
      <c r="J242" s="31">
        <f>E242+F242+G242+H242-I242</f>
        <v>114930</v>
      </c>
      <c r="K242" s="103" t="e">
        <f>J242/J$140*100</f>
        <v>#REF!</v>
      </c>
    </row>
    <row r="243" spans="1:11" x14ac:dyDescent="0.2">
      <c r="A243" s="99">
        <v>4141</v>
      </c>
      <c r="B243" s="100"/>
      <c r="C243" s="101" t="s">
        <v>29</v>
      </c>
      <c r="D243" s="149"/>
      <c r="E243" s="31">
        <v>428966</v>
      </c>
      <c r="F243" s="31">
        <v>0</v>
      </c>
      <c r="G243" s="31">
        <v>0</v>
      </c>
      <c r="H243" s="31">
        <v>0</v>
      </c>
      <c r="I243" s="31"/>
      <c r="J243" s="31">
        <f>E243+F243+G243+H243-I243</f>
        <v>428966</v>
      </c>
      <c r="K243" s="103" t="e">
        <f>J243/J$140*100</f>
        <v>#REF!</v>
      </c>
    </row>
    <row r="244" spans="1:11" x14ac:dyDescent="0.2">
      <c r="A244" s="99">
        <v>4142</v>
      </c>
      <c r="B244" s="100"/>
      <c r="C244" s="101" t="s">
        <v>31</v>
      </c>
      <c r="D244" s="149"/>
      <c r="E244" s="31">
        <v>317702</v>
      </c>
      <c r="F244" s="31">
        <v>0</v>
      </c>
      <c r="G244" s="31">
        <v>0</v>
      </c>
      <c r="H244" s="31">
        <v>1883762</v>
      </c>
      <c r="I244" s="31"/>
      <c r="J244" s="31">
        <f>E244+F244+G244+H244-I244</f>
        <v>2201464</v>
      </c>
      <c r="K244" s="103" t="e">
        <f>J244/J$140*100</f>
        <v>#REF!</v>
      </c>
    </row>
    <row r="245" spans="1:11" x14ac:dyDescent="0.2">
      <c r="A245" s="99">
        <v>4143</v>
      </c>
      <c r="B245" s="100"/>
      <c r="C245" s="101" t="s">
        <v>33</v>
      </c>
      <c r="D245" s="149"/>
      <c r="E245" s="31">
        <v>1935312</v>
      </c>
      <c r="F245" s="31">
        <v>0</v>
      </c>
      <c r="G245" s="31">
        <v>0</v>
      </c>
      <c r="H245" s="31">
        <v>0</v>
      </c>
      <c r="I245" s="31"/>
      <c r="J245" s="31">
        <f>E245+F245+G245+H245-I245</f>
        <v>1935312</v>
      </c>
      <c r="K245" s="103" t="e">
        <f>J245/J$140*100</f>
        <v>#REF!</v>
      </c>
    </row>
    <row r="246" spans="1:11" x14ac:dyDescent="0.2">
      <c r="A246" s="82"/>
      <c r="B246" s="94"/>
      <c r="C246" s="95"/>
      <c r="D246" s="145"/>
      <c r="E246" s="34"/>
      <c r="F246" s="34"/>
      <c r="G246" s="34"/>
      <c r="H246" s="34"/>
      <c r="I246" s="34"/>
      <c r="J246" s="34"/>
      <c r="K246" s="105"/>
    </row>
    <row r="247" spans="1:11" ht="15.75" x14ac:dyDescent="0.25">
      <c r="A247" s="88">
        <v>42</v>
      </c>
      <c r="B247" s="89"/>
      <c r="C247" s="90" t="s">
        <v>35</v>
      </c>
      <c r="D247" s="146"/>
      <c r="E247" s="32">
        <f>E249</f>
        <v>87888744</v>
      </c>
      <c r="F247" s="32">
        <f>F249</f>
        <v>86509468.916889608</v>
      </c>
      <c r="G247" s="32">
        <f>G249</f>
        <v>905800</v>
      </c>
      <c r="H247" s="32">
        <f>H249</f>
        <v>1608748</v>
      </c>
      <c r="I247" s="32">
        <f>I249</f>
        <v>0</v>
      </c>
      <c r="J247" s="32">
        <f>E247+F247+G247+H247-I247</f>
        <v>176912760.91688961</v>
      </c>
      <c r="K247" s="92" t="e">
        <f>J247/J$140*100</f>
        <v>#REF!</v>
      </c>
    </row>
    <row r="248" spans="1:11" x14ac:dyDescent="0.2">
      <c r="A248" s="82"/>
      <c r="B248" s="94"/>
      <c r="C248" s="95"/>
      <c r="D248" s="145"/>
      <c r="E248" s="86"/>
      <c r="F248" s="86"/>
      <c r="G248" s="86"/>
      <c r="H248" s="86"/>
      <c r="I248" s="86"/>
      <c r="J248" s="86"/>
      <c r="K248" s="87"/>
    </row>
    <row r="249" spans="1:11" x14ac:dyDescent="0.2">
      <c r="A249" s="99">
        <v>420</v>
      </c>
      <c r="B249" s="100"/>
      <c r="C249" s="101" t="s">
        <v>37</v>
      </c>
      <c r="D249" s="149"/>
      <c r="E249" s="31">
        <f>SUM(E250:E259)</f>
        <v>87888744</v>
      </c>
      <c r="F249" s="31">
        <f>SUM(F250:F259)</f>
        <v>86509468.916889608</v>
      </c>
      <c r="G249" s="31">
        <f>SUM(G250:G259)</f>
        <v>905800</v>
      </c>
      <c r="H249" s="31">
        <f>SUM(H250:H259)</f>
        <v>1608748</v>
      </c>
      <c r="I249" s="31">
        <f>SUM(I250:I259)</f>
        <v>0</v>
      </c>
      <c r="J249" s="31">
        <f t="shared" ref="J249:J259" si="19">E249+F249+G249+H249-I249</f>
        <v>176912760.91688961</v>
      </c>
      <c r="K249" s="103" t="e">
        <f t="shared" ref="K249:K259" si="20">J249/J$140*100</f>
        <v>#REF!</v>
      </c>
    </row>
    <row r="250" spans="1:11" x14ac:dyDescent="0.2">
      <c r="A250" s="99">
        <v>4200</v>
      </c>
      <c r="B250" s="100"/>
      <c r="C250" s="101" t="s">
        <v>39</v>
      </c>
      <c r="D250" s="149"/>
      <c r="E250" s="31">
        <v>1430150</v>
      </c>
      <c r="F250" s="31">
        <v>3745409.5493809278</v>
      </c>
      <c r="G250" s="31"/>
      <c r="H250" s="31"/>
      <c r="I250" s="31"/>
      <c r="J250" s="31">
        <f t="shared" si="19"/>
        <v>5175559.5493809283</v>
      </c>
      <c r="K250" s="103" t="e">
        <f t="shared" si="20"/>
        <v>#REF!</v>
      </c>
    </row>
    <row r="251" spans="1:11" x14ac:dyDescent="0.2">
      <c r="A251" s="99">
        <v>4201</v>
      </c>
      <c r="B251" s="100"/>
      <c r="C251" s="101" t="s">
        <v>41</v>
      </c>
      <c r="D251" s="149"/>
      <c r="E251" s="31">
        <v>1771070</v>
      </c>
      <c r="F251" s="31">
        <v>493471.63882194477</v>
      </c>
      <c r="G251" s="31"/>
      <c r="H251" s="31"/>
      <c r="I251" s="31"/>
      <c r="J251" s="31">
        <f t="shared" si="19"/>
        <v>2264541.6388219446</v>
      </c>
      <c r="K251" s="103" t="e">
        <f t="shared" si="20"/>
        <v>#REF!</v>
      </c>
    </row>
    <row r="252" spans="1:11" x14ac:dyDescent="0.2">
      <c r="A252" s="99">
        <v>4202</v>
      </c>
      <c r="B252" s="100"/>
      <c r="C252" s="101" t="s">
        <v>43</v>
      </c>
      <c r="D252" s="149"/>
      <c r="E252" s="31">
        <v>20079793</v>
      </c>
      <c r="F252" s="31">
        <v>3785872.528054344</v>
      </c>
      <c r="G252" s="31"/>
      <c r="H252" s="31"/>
      <c r="I252" s="31"/>
      <c r="J252" s="31">
        <f t="shared" si="19"/>
        <v>23865665.528054345</v>
      </c>
      <c r="K252" s="103" t="e">
        <f t="shared" si="20"/>
        <v>#REF!</v>
      </c>
    </row>
    <row r="253" spans="1:11" x14ac:dyDescent="0.2">
      <c r="A253" s="99">
        <v>4203</v>
      </c>
      <c r="B253" s="100"/>
      <c r="C253" s="101" t="s">
        <v>45</v>
      </c>
      <c r="D253" s="149"/>
      <c r="E253" s="31">
        <v>47598</v>
      </c>
      <c r="F253" s="31">
        <v>511317.85408367036</v>
      </c>
      <c r="G253" s="31">
        <v>905800</v>
      </c>
      <c r="H253" s="31">
        <v>1608748</v>
      </c>
      <c r="I253" s="31"/>
      <c r="J253" s="31">
        <f t="shared" si="19"/>
        <v>3073463.8540836703</v>
      </c>
      <c r="K253" s="103" t="e">
        <f t="shared" si="20"/>
        <v>#REF!</v>
      </c>
    </row>
    <row r="254" spans="1:11" x14ac:dyDescent="0.2">
      <c r="A254" s="99">
        <v>4204</v>
      </c>
      <c r="B254" s="100"/>
      <c r="C254" s="101" t="s">
        <v>47</v>
      </c>
      <c r="D254" s="149"/>
      <c r="E254" s="31">
        <v>44630470</v>
      </c>
      <c r="F254" s="31">
        <v>50780919.328499407</v>
      </c>
      <c r="G254" s="31"/>
      <c r="H254" s="31"/>
      <c r="I254" s="31"/>
      <c r="J254" s="31">
        <f t="shared" si="19"/>
        <v>95411389.328499407</v>
      </c>
      <c r="K254" s="103" t="e">
        <f t="shared" si="20"/>
        <v>#REF!</v>
      </c>
    </row>
    <row r="255" spans="1:11" x14ac:dyDescent="0.2">
      <c r="A255" s="99">
        <v>4205</v>
      </c>
      <c r="B255" s="100"/>
      <c r="C255" s="101" t="s">
        <v>49</v>
      </c>
      <c r="D255" s="149"/>
      <c r="E255" s="31">
        <v>12249022</v>
      </c>
      <c r="F255" s="31">
        <v>14688543.71424742</v>
      </c>
      <c r="G255" s="31"/>
      <c r="H255" s="31"/>
      <c r="I255" s="31"/>
      <c r="J255" s="31">
        <f t="shared" si="19"/>
        <v>26937565.71424742</v>
      </c>
      <c r="K255" s="103" t="e">
        <f t="shared" si="20"/>
        <v>#REF!</v>
      </c>
    </row>
    <row r="256" spans="1:11" x14ac:dyDescent="0.2">
      <c r="A256" s="99">
        <v>4206</v>
      </c>
      <c r="B256" s="100"/>
      <c r="C256" s="101" t="s">
        <v>51</v>
      </c>
      <c r="D256" s="149"/>
      <c r="E256" s="31">
        <v>1414117</v>
      </c>
      <c r="F256" s="31">
        <v>5779318.7863314571</v>
      </c>
      <c r="G256" s="31"/>
      <c r="H256" s="31"/>
      <c r="I256" s="31"/>
      <c r="J256" s="31">
        <f t="shared" si="19"/>
        <v>7193435.7863314571</v>
      </c>
      <c r="K256" s="103" t="e">
        <f t="shared" si="20"/>
        <v>#REF!</v>
      </c>
    </row>
    <row r="257" spans="1:11" x14ac:dyDescent="0.2">
      <c r="A257" s="99">
        <v>4207</v>
      </c>
      <c r="B257" s="100"/>
      <c r="C257" s="101" t="s">
        <v>53</v>
      </c>
      <c r="D257" s="149"/>
      <c r="E257" s="31">
        <v>253306</v>
      </c>
      <c r="F257" s="31">
        <v>30715.847728321594</v>
      </c>
      <c r="G257" s="31"/>
      <c r="H257" s="31"/>
      <c r="I257" s="31"/>
      <c r="J257" s="31">
        <f t="shared" si="19"/>
        <v>284021.84772832162</v>
      </c>
      <c r="K257" s="103" t="e">
        <f t="shared" si="20"/>
        <v>#REF!</v>
      </c>
    </row>
    <row r="258" spans="1:11" x14ac:dyDescent="0.2">
      <c r="A258" s="99">
        <v>4208</v>
      </c>
      <c r="B258" s="100"/>
      <c r="C258" s="101" t="s">
        <v>55</v>
      </c>
      <c r="D258" s="149"/>
      <c r="E258" s="31">
        <v>5998218</v>
      </c>
      <c r="F258" s="31">
        <v>6693899.6697421037</v>
      </c>
      <c r="G258" s="31"/>
      <c r="H258" s="31"/>
      <c r="I258" s="31"/>
      <c r="J258" s="31">
        <f t="shared" si="19"/>
        <v>12692117.669742104</v>
      </c>
      <c r="K258" s="103" t="e">
        <f t="shared" si="20"/>
        <v>#REF!</v>
      </c>
    </row>
    <row r="259" spans="1:11" x14ac:dyDescent="0.2">
      <c r="A259" s="99">
        <v>4209</v>
      </c>
      <c r="B259" s="100"/>
      <c r="C259" s="101" t="s">
        <v>57</v>
      </c>
      <c r="D259" s="149"/>
      <c r="E259" s="31">
        <v>15000</v>
      </c>
      <c r="F259" s="31">
        <v>0</v>
      </c>
      <c r="G259" s="31"/>
      <c r="H259" s="31"/>
      <c r="I259" s="31"/>
      <c r="J259" s="31">
        <f t="shared" si="19"/>
        <v>15000</v>
      </c>
      <c r="K259" s="103" t="e">
        <f t="shared" si="20"/>
        <v>#REF!</v>
      </c>
    </row>
    <row r="260" spans="1:11" x14ac:dyDescent="0.2">
      <c r="A260" s="82"/>
      <c r="B260" s="94"/>
      <c r="C260" s="95"/>
      <c r="D260" s="145"/>
      <c r="E260" s="34"/>
      <c r="F260" s="34"/>
      <c r="G260" s="34"/>
      <c r="H260" s="34"/>
      <c r="I260" s="34"/>
      <c r="J260" s="34"/>
      <c r="K260" s="105"/>
    </row>
    <row r="261" spans="1:11" ht="15.75" x14ac:dyDescent="0.25">
      <c r="A261" s="88">
        <v>43</v>
      </c>
      <c r="B261" s="89"/>
      <c r="C261" s="90" t="s">
        <v>59</v>
      </c>
      <c r="D261" s="146"/>
      <c r="E261" s="32">
        <f>E263</f>
        <v>77446322</v>
      </c>
      <c r="F261" s="32">
        <f>F263</f>
        <v>29184361.012618221</v>
      </c>
      <c r="G261" s="32">
        <f>G263</f>
        <v>0</v>
      </c>
      <c r="H261" s="32">
        <f>H263</f>
        <v>0</v>
      </c>
      <c r="I261" s="32">
        <f>I263</f>
        <v>15067127.022371791</v>
      </c>
      <c r="J261" s="32">
        <f>E261+F261+G261+H261-I261</f>
        <v>91563555.990246415</v>
      </c>
      <c r="K261" s="92" t="e">
        <f>J261/J$140*100</f>
        <v>#REF!</v>
      </c>
    </row>
    <row r="262" spans="1:11" x14ac:dyDescent="0.2">
      <c r="A262" s="82"/>
      <c r="B262" s="94"/>
      <c r="C262" s="95"/>
      <c r="D262" s="145"/>
      <c r="E262" s="86"/>
      <c r="F262" s="86"/>
      <c r="G262" s="86"/>
      <c r="H262" s="86"/>
      <c r="I262" s="86"/>
      <c r="J262" s="86"/>
      <c r="K262" s="87"/>
    </row>
    <row r="263" spans="1:11" x14ac:dyDescent="0.2">
      <c r="A263" s="99">
        <v>430</v>
      </c>
      <c r="B263" s="100"/>
      <c r="C263" s="101" t="s">
        <v>61</v>
      </c>
      <c r="D263" s="149"/>
      <c r="E263" s="31">
        <f>SUM(E265:E273)</f>
        <v>77446322</v>
      </c>
      <c r="F263" s="31">
        <f>SUM(F265:F273)</f>
        <v>29184361.012618221</v>
      </c>
      <c r="G263" s="31">
        <v>0</v>
      </c>
      <c r="H263" s="31">
        <f>SUM(H265:H273)</f>
        <v>0</v>
      </c>
      <c r="I263" s="31">
        <f>SUM(I265:I273)</f>
        <v>15067127.022371791</v>
      </c>
      <c r="J263" s="31">
        <f>E263+F263+G263+H263-I263</f>
        <v>91563555.990246415</v>
      </c>
      <c r="K263" s="103" t="e">
        <f>J263/J$140*100</f>
        <v>#REF!</v>
      </c>
    </row>
    <row r="264" spans="1:11" x14ac:dyDescent="0.2">
      <c r="A264" s="82"/>
      <c r="B264" s="94"/>
      <c r="C264" s="95"/>
      <c r="D264" s="145"/>
      <c r="E264" s="34"/>
      <c r="F264" s="34"/>
      <c r="G264" s="34"/>
      <c r="H264" s="34"/>
      <c r="I264" s="34"/>
      <c r="J264" s="34"/>
      <c r="K264" s="105"/>
    </row>
    <row r="265" spans="1:11" x14ac:dyDescent="0.2">
      <c r="A265" s="106">
        <v>4300</v>
      </c>
      <c r="B265" s="107"/>
      <c r="C265" s="108" t="s">
        <v>62</v>
      </c>
      <c r="D265" s="153"/>
      <c r="E265" s="109">
        <v>14992363</v>
      </c>
      <c r="F265" s="109">
        <v>2224163.7863010019</v>
      </c>
      <c r="G265" s="109">
        <v>0</v>
      </c>
      <c r="H265" s="109">
        <v>0</v>
      </c>
      <c r="I265" s="429">
        <v>15067127.022371791</v>
      </c>
      <c r="J265" s="109">
        <f>E265+F265+G265+H265-I265</f>
        <v>2149399.7639292106</v>
      </c>
      <c r="K265" s="103" t="e">
        <f>J265/J$140*100</f>
        <v>#REF!</v>
      </c>
    </row>
    <row r="266" spans="1:11" x14ac:dyDescent="0.2">
      <c r="A266" s="99">
        <v>4301</v>
      </c>
      <c r="B266" s="100"/>
      <c r="C266" s="101" t="s">
        <v>65</v>
      </c>
      <c r="D266" s="149"/>
      <c r="E266" s="31">
        <v>2527746</v>
      </c>
      <c r="F266" s="31">
        <v>3809590.6295359535</v>
      </c>
      <c r="G266" s="31">
        <v>0</v>
      </c>
      <c r="H266" s="31">
        <v>0</v>
      </c>
      <c r="I266" s="31"/>
      <c r="J266" s="31">
        <f t="shared" ref="J266:J273" si="21">E266+F266+G266+H266</f>
        <v>6337336.6295359535</v>
      </c>
      <c r="K266" s="103" t="e">
        <f t="shared" ref="K266:K273" si="22">J266/J$140*100</f>
        <v>#REF!</v>
      </c>
    </row>
    <row r="267" spans="1:11" x14ac:dyDescent="0.2">
      <c r="A267" s="99">
        <v>4302</v>
      </c>
      <c r="B267" s="100"/>
      <c r="C267" s="101" t="s">
        <v>67</v>
      </c>
      <c r="D267" s="149"/>
      <c r="E267" s="31">
        <v>2534399</v>
      </c>
      <c r="F267" s="31">
        <v>1911378.7962204618</v>
      </c>
      <c r="G267" s="31">
        <v>0</v>
      </c>
      <c r="H267" s="31">
        <v>0</v>
      </c>
      <c r="I267" s="31"/>
      <c r="J267" s="31">
        <f t="shared" si="21"/>
        <v>4445777.7962204618</v>
      </c>
      <c r="K267" s="103" t="e">
        <f t="shared" si="22"/>
        <v>#REF!</v>
      </c>
    </row>
    <row r="268" spans="1:11" x14ac:dyDescent="0.2">
      <c r="A268" s="99">
        <v>4303</v>
      </c>
      <c r="B268" s="100"/>
      <c r="C268" s="101" t="s">
        <v>69</v>
      </c>
      <c r="D268" s="149"/>
      <c r="E268" s="31">
        <v>39135493</v>
      </c>
      <c r="F268" s="31">
        <v>8929493.7125382461</v>
      </c>
      <c r="G268" s="31">
        <v>0</v>
      </c>
      <c r="H268" s="31">
        <v>0</v>
      </c>
      <c r="I268" s="31"/>
      <c r="J268" s="31">
        <f t="shared" si="21"/>
        <v>48064986.712538242</v>
      </c>
      <c r="K268" s="103" t="e">
        <f t="shared" si="22"/>
        <v>#REF!</v>
      </c>
    </row>
    <row r="269" spans="1:11" x14ac:dyDescent="0.2">
      <c r="A269" s="99">
        <v>4304</v>
      </c>
      <c r="B269" s="100"/>
      <c r="C269" s="101" t="s">
        <v>71</v>
      </c>
      <c r="D269" s="149"/>
      <c r="E269" s="31">
        <v>0</v>
      </c>
      <c r="F269" s="31">
        <v>20540.038188758401</v>
      </c>
      <c r="G269" s="31">
        <v>0</v>
      </c>
      <c r="H269" s="31">
        <v>0</v>
      </c>
      <c r="I269" s="31"/>
      <c r="J269" s="31">
        <f t="shared" si="21"/>
        <v>20540.038188758401</v>
      </c>
      <c r="K269" s="103" t="e">
        <f t="shared" si="22"/>
        <v>#REF!</v>
      </c>
    </row>
    <row r="270" spans="1:11" x14ac:dyDescent="0.2">
      <c r="A270" s="99">
        <v>4305</v>
      </c>
      <c r="B270" s="100"/>
      <c r="C270" s="101" t="s">
        <v>73</v>
      </c>
      <c r="D270" s="149"/>
      <c r="E270" s="31">
        <v>9605207</v>
      </c>
      <c r="F270" s="31">
        <v>1084454.4322309948</v>
      </c>
      <c r="G270" s="31">
        <v>0</v>
      </c>
      <c r="H270" s="31">
        <v>0</v>
      </c>
      <c r="I270" s="31"/>
      <c r="J270" s="31">
        <f t="shared" si="21"/>
        <v>10689661.432230994</v>
      </c>
      <c r="K270" s="103" t="e">
        <f t="shared" si="22"/>
        <v>#REF!</v>
      </c>
    </row>
    <row r="271" spans="1:11" x14ac:dyDescent="0.2">
      <c r="A271" s="99">
        <v>4306</v>
      </c>
      <c r="B271" s="100"/>
      <c r="C271" s="101" t="s">
        <v>75</v>
      </c>
      <c r="D271" s="149"/>
      <c r="E271" s="31">
        <v>2789811</v>
      </c>
      <c r="F271" s="31">
        <v>209462.84573130001</v>
      </c>
      <c r="G271" s="31">
        <v>0</v>
      </c>
      <c r="H271" s="31">
        <v>0</v>
      </c>
      <c r="I271" s="31"/>
      <c r="J271" s="31">
        <f t="shared" si="21"/>
        <v>2999273.8457312998</v>
      </c>
      <c r="K271" s="103" t="e">
        <f t="shared" si="22"/>
        <v>#REF!</v>
      </c>
    </row>
    <row r="272" spans="1:11" x14ac:dyDescent="0.2">
      <c r="A272" s="99">
        <v>4307</v>
      </c>
      <c r="B272" s="100"/>
      <c r="C272" s="101" t="s">
        <v>77</v>
      </c>
      <c r="D272" s="149"/>
      <c r="E272" s="31">
        <v>5806303</v>
      </c>
      <c r="F272" s="31">
        <v>10995276.771871505</v>
      </c>
      <c r="G272" s="31">
        <v>0</v>
      </c>
      <c r="H272" s="31">
        <v>0</v>
      </c>
      <c r="I272" s="31"/>
      <c r="J272" s="31">
        <f t="shared" si="21"/>
        <v>16801579.771871507</v>
      </c>
      <c r="K272" s="103" t="e">
        <f t="shared" si="22"/>
        <v>#REF!</v>
      </c>
    </row>
    <row r="273" spans="1:11" x14ac:dyDescent="0.2">
      <c r="A273" s="99">
        <v>4308</v>
      </c>
      <c r="B273" s="100"/>
      <c r="C273" s="101" t="s">
        <v>79</v>
      </c>
      <c r="D273" s="149"/>
      <c r="E273" s="31">
        <v>55000</v>
      </c>
      <c r="F273" s="31">
        <v>0</v>
      </c>
      <c r="G273" s="31">
        <v>0</v>
      </c>
      <c r="H273" s="31">
        <v>0</v>
      </c>
      <c r="I273" s="31"/>
      <c r="J273" s="31">
        <f t="shared" si="21"/>
        <v>55000</v>
      </c>
      <c r="K273" s="103" t="e">
        <f t="shared" si="22"/>
        <v>#REF!</v>
      </c>
    </row>
    <row r="274" spans="1:11" ht="15.75" thickBot="1" x14ac:dyDescent="0.25">
      <c r="A274" s="120"/>
      <c r="B274" s="121"/>
      <c r="C274" s="122"/>
      <c r="D274" s="160"/>
      <c r="E274" s="161"/>
      <c r="F274" s="161"/>
      <c r="G274" s="161"/>
      <c r="H274" s="161"/>
      <c r="I274" s="161"/>
      <c r="J274" s="161"/>
      <c r="K274" s="162"/>
    </row>
    <row r="275" spans="1:11" ht="15.75" thickTop="1" x14ac:dyDescent="0.2">
      <c r="A275" s="135"/>
      <c r="B275" s="136"/>
      <c r="C275" s="137"/>
      <c r="D275" s="163"/>
      <c r="E275" s="164"/>
      <c r="F275" s="164"/>
      <c r="G275" s="164"/>
      <c r="H275" s="164"/>
      <c r="I275" s="164"/>
      <c r="J275" s="164"/>
      <c r="K275" s="165"/>
    </row>
    <row r="276" spans="1:11" ht="15.75" thickBot="1" x14ac:dyDescent="0.25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66"/>
    </row>
    <row r="277" spans="1:11" ht="17.25" thickTop="1" thickBot="1" x14ac:dyDescent="0.3">
      <c r="A277" s="69" t="s">
        <v>83</v>
      </c>
      <c r="B277" s="70"/>
      <c r="C277" s="77" t="s">
        <v>828</v>
      </c>
      <c r="D277" s="142"/>
      <c r="E277" s="73">
        <f t="shared" ref="E277:J277" si="23">E22-E143</f>
        <v>-58297743.731584787</v>
      </c>
      <c r="F277" s="73">
        <f t="shared" si="23"/>
        <v>1000992.8694728017</v>
      </c>
      <c r="G277" s="73">
        <f t="shared" si="23"/>
        <v>3974999.5348141193</v>
      </c>
      <c r="H277" s="73">
        <f t="shared" si="23"/>
        <v>-4070964.7004275918</v>
      </c>
      <c r="I277" s="73">
        <f t="shared" si="23"/>
        <v>0</v>
      </c>
      <c r="J277" s="167">
        <f t="shared" si="23"/>
        <v>-57392720.027725697</v>
      </c>
      <c r="K277" s="76" t="e">
        <f>J277/J$140*100</f>
        <v>#REF!</v>
      </c>
    </row>
    <row r="278" spans="1:11" ht="16.5" thickTop="1" x14ac:dyDescent="0.25">
      <c r="A278" s="69"/>
      <c r="B278" s="70"/>
      <c r="C278" s="71" t="s">
        <v>829</v>
      </c>
      <c r="D278" s="142"/>
      <c r="E278" s="168" t="e">
        <f>+E277/$J$140*100</f>
        <v>#REF!</v>
      </c>
      <c r="F278" s="168" t="e">
        <f>+F277/$J$140*100</f>
        <v>#REF!</v>
      </c>
      <c r="G278" s="168" t="e">
        <f>+G277/$J$140*100</f>
        <v>#REF!</v>
      </c>
      <c r="H278" s="168" t="e">
        <f>+H277/$J$140*100</f>
        <v>#REF!</v>
      </c>
      <c r="I278" s="32"/>
      <c r="J278" s="32"/>
      <c r="K278" s="144"/>
    </row>
    <row r="279" spans="1:11" ht="15.75" x14ac:dyDescent="0.25">
      <c r="A279" s="88"/>
      <c r="B279" s="89"/>
      <c r="C279" s="90" t="s">
        <v>88</v>
      </c>
      <c r="D279" s="146"/>
      <c r="E279" s="48"/>
      <c r="F279" s="48"/>
      <c r="G279" s="48"/>
      <c r="H279" s="48"/>
      <c r="I279" s="32"/>
      <c r="J279" s="32"/>
      <c r="K279" s="257"/>
    </row>
    <row r="280" spans="1:11" ht="15.75" x14ac:dyDescent="0.25">
      <c r="A280" s="88"/>
      <c r="B280" s="89"/>
      <c r="C280" s="246" t="s">
        <v>864</v>
      </c>
      <c r="D280" s="146"/>
      <c r="E280" s="32"/>
      <c r="F280" s="32"/>
      <c r="G280" s="32"/>
      <c r="H280" s="32"/>
      <c r="I280" s="32"/>
      <c r="J280" s="32"/>
      <c r="K280" s="93"/>
    </row>
    <row r="281" spans="1:11" ht="15.75" thickBot="1" x14ac:dyDescent="0.25">
      <c r="A281" s="169"/>
      <c r="B281" s="170"/>
      <c r="C281" s="171"/>
      <c r="D281" s="160"/>
      <c r="E281" s="161"/>
      <c r="F281" s="161"/>
      <c r="G281" s="161"/>
      <c r="H281" s="161"/>
      <c r="I281" s="161"/>
      <c r="J281" s="161"/>
      <c r="K281" s="166"/>
    </row>
    <row r="282" spans="1:11" ht="15.75" thickTop="1" x14ac:dyDescent="0.2">
      <c r="A282" s="61"/>
      <c r="B282" s="62"/>
      <c r="C282" s="172"/>
      <c r="D282" s="173"/>
      <c r="E282" s="66"/>
      <c r="F282" s="66"/>
      <c r="G282" s="66"/>
      <c r="H282" s="66"/>
      <c r="I282" s="66"/>
      <c r="J282" s="66"/>
      <c r="K282" s="174"/>
    </row>
    <row r="283" spans="1:11" ht="15.75" x14ac:dyDescent="0.25">
      <c r="A283" s="69" t="s">
        <v>90</v>
      </c>
      <c r="B283" s="70"/>
      <c r="C283" s="77" t="s">
        <v>91</v>
      </c>
      <c r="D283" s="142"/>
      <c r="E283" s="73">
        <f t="shared" ref="E283:J283" si="24">(E22-E81)-(E143-E185-E192)</f>
        <v>13016486.268415213</v>
      </c>
      <c r="F283" s="73">
        <f t="shared" si="24"/>
        <v>-702378.11469805241</v>
      </c>
      <c r="G283" s="73">
        <f t="shared" si="24"/>
        <v>5364552.639578104</v>
      </c>
      <c r="H283" s="73">
        <f t="shared" si="24"/>
        <v>-3725279.7004275918</v>
      </c>
      <c r="I283" s="73">
        <f t="shared" si="24"/>
        <v>0</v>
      </c>
      <c r="J283" s="73">
        <f t="shared" si="24"/>
        <v>13953377.092867374</v>
      </c>
      <c r="K283" s="92" t="e">
        <f>J283/J$140*100</f>
        <v>#REF!</v>
      </c>
    </row>
    <row r="284" spans="1:11" ht="15.75" x14ac:dyDescent="0.25">
      <c r="A284" s="69"/>
      <c r="B284" s="70"/>
      <c r="C284" s="77" t="s">
        <v>93</v>
      </c>
      <c r="D284" s="142"/>
      <c r="E284" s="73"/>
      <c r="F284" s="73"/>
      <c r="G284" s="73"/>
      <c r="H284" s="73"/>
      <c r="I284" s="73"/>
      <c r="J284" s="175"/>
      <c r="K284" s="93"/>
    </row>
    <row r="285" spans="1:11" ht="15.75" x14ac:dyDescent="0.25">
      <c r="A285" s="88"/>
      <c r="B285" s="89"/>
      <c r="C285" s="90" t="s">
        <v>95</v>
      </c>
      <c r="D285" s="146"/>
      <c r="E285" s="32"/>
      <c r="F285" s="32"/>
      <c r="G285" s="32"/>
      <c r="H285" s="32"/>
      <c r="I285" s="32"/>
      <c r="J285" s="29"/>
      <c r="K285" s="93"/>
    </row>
    <row r="286" spans="1:11" ht="15.75" thickBot="1" x14ac:dyDescent="0.25">
      <c r="A286" s="120"/>
      <c r="B286" s="121"/>
      <c r="C286" s="122"/>
      <c r="D286" s="160"/>
      <c r="E286" s="124"/>
      <c r="F286" s="124"/>
      <c r="G286" s="124"/>
      <c r="H286" s="124"/>
      <c r="I286" s="124"/>
      <c r="J286" s="124"/>
      <c r="K286" s="125"/>
    </row>
    <row r="287" spans="1:11" ht="15.75" thickTop="1" x14ac:dyDescent="0.2">
      <c r="A287" s="61"/>
      <c r="B287" s="62"/>
      <c r="C287" s="172"/>
      <c r="D287" s="173"/>
      <c r="E287" s="176"/>
      <c r="F287" s="176"/>
      <c r="G287" s="176"/>
      <c r="H287" s="176"/>
      <c r="I287" s="176"/>
      <c r="J287" s="176"/>
      <c r="K287" s="177"/>
    </row>
    <row r="288" spans="1:11" ht="15.75" x14ac:dyDescent="0.25">
      <c r="A288" s="69" t="s">
        <v>96</v>
      </c>
      <c r="B288" s="70"/>
      <c r="C288" s="77" t="s">
        <v>97</v>
      </c>
      <c r="D288" s="142"/>
      <c r="E288" s="73">
        <f t="shared" ref="E288:J288" si="25">E25-(E146+E205)</f>
        <v>84269801.488075256</v>
      </c>
      <c r="F288" s="73">
        <f t="shared" si="25"/>
        <v>38219844.568678677</v>
      </c>
      <c r="G288" s="73">
        <f t="shared" si="25"/>
        <v>-246095785.51985145</v>
      </c>
      <c r="H288" s="73">
        <f t="shared" si="25"/>
        <v>-75635601.700427592</v>
      </c>
      <c r="I288" s="73">
        <f t="shared" si="25"/>
        <v>-367430279.82780981</v>
      </c>
      <c r="J288" s="73">
        <f t="shared" si="25"/>
        <v>168188538.66428423</v>
      </c>
      <c r="K288" s="92" t="e">
        <f>J288/J$140*100</f>
        <v>#REF!</v>
      </c>
    </row>
    <row r="289" spans="1:11" ht="15.75" x14ac:dyDescent="0.25">
      <c r="A289" s="69"/>
      <c r="B289" s="70"/>
      <c r="C289" s="77" t="s">
        <v>93</v>
      </c>
      <c r="D289" s="142"/>
      <c r="E289" s="73"/>
      <c r="F289" s="73"/>
      <c r="G289" s="73"/>
      <c r="H289" s="73"/>
      <c r="I289" s="73"/>
      <c r="J289" s="73"/>
      <c r="K289" s="93"/>
    </row>
    <row r="290" spans="1:11" ht="15.75" x14ac:dyDescent="0.25">
      <c r="A290" s="88"/>
      <c r="B290" s="89"/>
      <c r="C290" s="90" t="s">
        <v>99</v>
      </c>
      <c r="D290" s="146"/>
      <c r="E290" s="32"/>
      <c r="F290" s="32"/>
      <c r="G290" s="32"/>
      <c r="H290" s="32"/>
      <c r="I290" s="32"/>
      <c r="J290" s="29"/>
      <c r="K290" s="93"/>
    </row>
    <row r="291" spans="1:11" ht="15.75" thickBot="1" x14ac:dyDescent="0.25">
      <c r="A291" s="178"/>
      <c r="B291" s="179"/>
      <c r="C291" s="180"/>
      <c r="D291" s="181"/>
      <c r="E291" s="182"/>
      <c r="F291" s="182"/>
      <c r="G291" s="182"/>
      <c r="H291" s="182"/>
      <c r="I291" s="182"/>
      <c r="J291" s="182"/>
      <c r="K291" s="183"/>
    </row>
    <row r="292" spans="1:11" ht="15.75" thickTop="1" x14ac:dyDescent="0.2">
      <c r="A292" s="184"/>
      <c r="B292" s="184"/>
      <c r="C292" s="56"/>
      <c r="D292" s="185"/>
      <c r="E292" s="186"/>
      <c r="F292" s="186"/>
      <c r="G292" s="186"/>
      <c r="H292" s="186"/>
      <c r="I292" s="186"/>
      <c r="J292" s="186"/>
      <c r="K292" s="186"/>
    </row>
    <row r="293" spans="1:11" x14ac:dyDescent="0.2">
      <c r="A293" s="53"/>
      <c r="B293" s="53"/>
      <c r="C293" s="54"/>
      <c r="D293" s="187"/>
      <c r="E293" s="188"/>
      <c r="F293" s="188"/>
      <c r="G293" s="188"/>
      <c r="H293" s="188"/>
      <c r="I293" s="188"/>
      <c r="J293" s="188"/>
      <c r="K293" s="51"/>
    </row>
    <row r="294" spans="1:11" x14ac:dyDescent="0.2">
      <c r="A294" s="53"/>
      <c r="B294" s="53"/>
      <c r="C294" s="54"/>
      <c r="D294" s="187"/>
      <c r="E294" s="188"/>
      <c r="F294" s="188"/>
      <c r="G294" s="188"/>
      <c r="H294" s="188"/>
      <c r="I294" s="188"/>
      <c r="J294" s="188"/>
      <c r="K294" s="51"/>
    </row>
    <row r="295" spans="1:11" ht="23.25" x14ac:dyDescent="0.35">
      <c r="A295" s="201"/>
      <c r="B295" s="237" t="s">
        <v>841</v>
      </c>
      <c r="C295" s="239" t="s">
        <v>842</v>
      </c>
      <c r="D295" s="239" t="s">
        <v>843</v>
      </c>
      <c r="E295" s="237"/>
      <c r="F295" s="240"/>
      <c r="G295" s="264"/>
      <c r="H295" s="264"/>
      <c r="I295" s="381"/>
      <c r="J295" s="381"/>
      <c r="K295" s="9"/>
    </row>
    <row r="296" spans="1:11" x14ac:dyDescent="0.2">
      <c r="A296" s="53"/>
      <c r="B296" s="53"/>
      <c r="C296" s="54"/>
      <c r="D296" s="54"/>
      <c r="E296" s="51"/>
      <c r="F296" s="51"/>
      <c r="G296" s="51"/>
      <c r="H296" s="51"/>
      <c r="I296" s="51"/>
      <c r="J296" s="51"/>
      <c r="K296" s="51"/>
    </row>
    <row r="297" spans="1:11" ht="16.5" thickBot="1" x14ac:dyDescent="0.3">
      <c r="A297" s="305"/>
      <c r="B297" s="305"/>
      <c r="C297" s="346"/>
      <c r="D297" s="346"/>
      <c r="E297" s="241"/>
      <c r="F297" s="241"/>
      <c r="G297" s="241"/>
      <c r="H297" s="241"/>
      <c r="I297" s="55" t="s">
        <v>208</v>
      </c>
      <c r="J297" s="55"/>
      <c r="K297" s="241"/>
    </row>
    <row r="298" spans="1:11" ht="16.5" thickTop="1" x14ac:dyDescent="0.25">
      <c r="A298" s="306"/>
      <c r="B298" s="317"/>
      <c r="C298" s="347"/>
      <c r="D298" s="373"/>
      <c r="E298" s="334"/>
      <c r="F298" s="335"/>
      <c r="G298" s="335"/>
      <c r="H298" s="335"/>
      <c r="I298" s="335"/>
      <c r="J298" s="339"/>
      <c r="K298" s="276"/>
    </row>
    <row r="299" spans="1:11" ht="20.25" x14ac:dyDescent="0.3">
      <c r="A299" s="307"/>
      <c r="B299" s="242"/>
      <c r="C299" s="345"/>
      <c r="D299" s="374"/>
      <c r="E299" s="336" t="str">
        <f>+E15</f>
        <v xml:space="preserve">   2  0  0  4</v>
      </c>
      <c r="F299" s="337"/>
      <c r="G299" s="337"/>
      <c r="H299" s="337"/>
      <c r="I299" s="337"/>
      <c r="J299" s="340"/>
      <c r="K299" s="277" t="s">
        <v>209</v>
      </c>
    </row>
    <row r="300" spans="1:11" ht="15.75" x14ac:dyDescent="0.25">
      <c r="A300" s="307"/>
      <c r="B300" s="242"/>
      <c r="C300" s="345"/>
      <c r="D300" s="374"/>
      <c r="E300" s="278"/>
      <c r="F300" s="279"/>
      <c r="G300" s="280"/>
      <c r="H300" s="281"/>
      <c r="I300" s="282" t="s">
        <v>210</v>
      </c>
      <c r="J300" s="282" t="s">
        <v>211</v>
      </c>
      <c r="K300" s="277" t="s">
        <v>212</v>
      </c>
    </row>
    <row r="301" spans="1:11" ht="15.75" x14ac:dyDescent="0.25">
      <c r="A301" s="329" t="s">
        <v>213</v>
      </c>
      <c r="B301" s="242"/>
      <c r="C301" s="345"/>
      <c r="D301" s="374"/>
      <c r="E301" s="283" t="s">
        <v>214</v>
      </c>
      <c r="F301" s="284" t="s">
        <v>215</v>
      </c>
      <c r="G301" s="288" t="s">
        <v>216</v>
      </c>
      <c r="H301" s="289" t="s">
        <v>217</v>
      </c>
      <c r="I301" s="285" t="s">
        <v>218</v>
      </c>
      <c r="J301" s="285" t="s">
        <v>219</v>
      </c>
      <c r="K301" s="277" t="s">
        <v>220</v>
      </c>
    </row>
    <row r="302" spans="1:11" ht="15.75" x14ac:dyDescent="0.25">
      <c r="A302" s="307"/>
      <c r="B302" s="242"/>
      <c r="C302" s="345"/>
      <c r="D302" s="374"/>
      <c r="E302" s="283" t="s">
        <v>221</v>
      </c>
      <c r="F302" s="284" t="s">
        <v>222</v>
      </c>
      <c r="G302" s="288"/>
      <c r="H302" s="289"/>
      <c r="I302" s="294" t="s">
        <v>223</v>
      </c>
      <c r="J302" s="285" t="s">
        <v>224</v>
      </c>
      <c r="K302" s="277" t="s">
        <v>225</v>
      </c>
    </row>
    <row r="303" spans="1:11" ht="16.5" thickBot="1" x14ac:dyDescent="0.3">
      <c r="A303" s="308"/>
      <c r="B303" s="243"/>
      <c r="C303" s="346"/>
      <c r="D303" s="375"/>
      <c r="E303" s="290"/>
      <c r="F303" s="291"/>
      <c r="G303" s="292"/>
      <c r="H303" s="293"/>
      <c r="I303" s="295" t="s">
        <v>226</v>
      </c>
      <c r="J303" s="286"/>
      <c r="K303" s="287" t="s">
        <v>228</v>
      </c>
    </row>
    <row r="304" spans="1:11" ht="15.75" thickTop="1" x14ac:dyDescent="0.2">
      <c r="A304" s="57"/>
      <c r="B304" s="58"/>
      <c r="C304" s="59"/>
      <c r="D304" s="60"/>
      <c r="E304" s="260" t="s">
        <v>229</v>
      </c>
      <c r="F304" s="260" t="s">
        <v>230</v>
      </c>
      <c r="G304" s="260" t="s">
        <v>231</v>
      </c>
      <c r="H304" s="260" t="s">
        <v>232</v>
      </c>
      <c r="I304" s="260" t="s">
        <v>233</v>
      </c>
      <c r="J304" s="260" t="s">
        <v>234</v>
      </c>
      <c r="K304" s="272"/>
    </row>
    <row r="305" spans="1:11" ht="15.75" x14ac:dyDescent="0.25">
      <c r="A305" s="190"/>
      <c r="B305" s="191" t="s">
        <v>100</v>
      </c>
      <c r="C305" s="192" t="s">
        <v>674</v>
      </c>
      <c r="D305" s="193"/>
      <c r="E305" s="194"/>
      <c r="F305" s="194"/>
      <c r="G305" s="194"/>
      <c r="H305" s="194"/>
      <c r="I305" s="194"/>
      <c r="J305" s="194"/>
      <c r="K305" s="195"/>
    </row>
    <row r="306" spans="1:11" ht="15.75" x14ac:dyDescent="0.25">
      <c r="A306" s="190"/>
      <c r="B306" s="191"/>
      <c r="C306" s="192" t="s">
        <v>676</v>
      </c>
      <c r="D306" s="193"/>
      <c r="E306" s="194">
        <f t="shared" ref="E306:J306" si="26">E308+E318+E323</f>
        <v>9380028</v>
      </c>
      <c r="F306" s="194">
        <f t="shared" si="26"/>
        <v>4624646.3720380003</v>
      </c>
      <c r="G306" s="194">
        <f t="shared" si="26"/>
        <v>64572</v>
      </c>
      <c r="H306" s="194">
        <f t="shared" si="26"/>
        <v>0</v>
      </c>
      <c r="I306" s="194">
        <f t="shared" si="26"/>
        <v>0</v>
      </c>
      <c r="J306" s="196">
        <f t="shared" si="26"/>
        <v>14069246.372037999</v>
      </c>
      <c r="K306" s="197" t="e">
        <f>J306/J$140*100</f>
        <v>#REF!</v>
      </c>
    </row>
    <row r="307" spans="1:11" x14ac:dyDescent="0.2">
      <c r="A307" s="82"/>
      <c r="B307" s="94"/>
      <c r="C307" s="95"/>
      <c r="D307" s="145"/>
      <c r="E307" s="34"/>
      <c r="F307" s="34"/>
      <c r="G307" s="34"/>
      <c r="H307" s="34"/>
      <c r="I307" s="34"/>
      <c r="J307" s="34"/>
      <c r="K307" s="105"/>
    </row>
    <row r="308" spans="1:11" x14ac:dyDescent="0.2">
      <c r="A308" s="99">
        <v>750</v>
      </c>
      <c r="B308" s="100"/>
      <c r="C308" s="101" t="s">
        <v>678</v>
      </c>
      <c r="D308" s="149"/>
      <c r="E308" s="31">
        <f>SUM(E309:E316)</f>
        <v>9380028</v>
      </c>
      <c r="F308" s="31">
        <v>1944746.372038</v>
      </c>
      <c r="G308" s="31">
        <f>SUM(G309:G316)</f>
        <v>64572</v>
      </c>
      <c r="H308" s="31">
        <f>SUM(H309:H316)</f>
        <v>0</v>
      </c>
      <c r="I308" s="31">
        <f>SUM(I309:I316)</f>
        <v>0</v>
      </c>
      <c r="J308" s="31">
        <f>+E308+F308+G308+H308-I308</f>
        <v>11389346.372037999</v>
      </c>
      <c r="K308" s="103" t="e">
        <f t="shared" ref="K308:K316" si="27">J308/J$140*100</f>
        <v>#REF!</v>
      </c>
    </row>
    <row r="309" spans="1:11" x14ac:dyDescent="0.2">
      <c r="A309" s="99">
        <v>7500</v>
      </c>
      <c r="B309" s="100"/>
      <c r="C309" s="101" t="s">
        <v>680</v>
      </c>
      <c r="D309" s="149"/>
      <c r="E309" s="31">
        <v>0</v>
      </c>
      <c r="F309" s="31"/>
      <c r="G309" s="31">
        <v>64572</v>
      </c>
      <c r="H309" s="31">
        <v>0</v>
      </c>
      <c r="I309" s="31"/>
      <c r="J309" s="31">
        <f t="shared" ref="J309:J315" si="28">E309+F309+G309+H309-I309</f>
        <v>64572</v>
      </c>
      <c r="K309" s="103" t="e">
        <f t="shared" si="27"/>
        <v>#REF!</v>
      </c>
    </row>
    <row r="310" spans="1:11" x14ac:dyDescent="0.2">
      <c r="A310" s="99">
        <v>7501</v>
      </c>
      <c r="B310" s="100"/>
      <c r="C310" s="101" t="s">
        <v>876</v>
      </c>
      <c r="D310" s="149"/>
      <c r="E310" s="31">
        <v>0</v>
      </c>
      <c r="F310" s="31"/>
      <c r="G310" s="31">
        <v>0</v>
      </c>
      <c r="H310" s="31">
        <v>0</v>
      </c>
      <c r="I310" s="31"/>
      <c r="J310" s="31">
        <f t="shared" si="28"/>
        <v>0</v>
      </c>
      <c r="K310" s="103" t="e">
        <f t="shared" si="27"/>
        <v>#REF!</v>
      </c>
    </row>
    <row r="311" spans="1:11" x14ac:dyDescent="0.2">
      <c r="A311" s="99">
        <v>7502</v>
      </c>
      <c r="B311" s="100"/>
      <c r="C311" s="101" t="s">
        <v>682</v>
      </c>
      <c r="D311" s="149"/>
      <c r="E311" s="31">
        <v>181829</v>
      </c>
      <c r="F311" s="31"/>
      <c r="G311" s="31">
        <v>0</v>
      </c>
      <c r="H311" s="31">
        <v>0</v>
      </c>
      <c r="I311" s="31"/>
      <c r="J311" s="31">
        <f t="shared" si="28"/>
        <v>181829</v>
      </c>
      <c r="K311" s="103" t="e">
        <f t="shared" si="27"/>
        <v>#REF!</v>
      </c>
    </row>
    <row r="312" spans="1:11" x14ac:dyDescent="0.2">
      <c r="A312" s="99">
        <v>7503</v>
      </c>
      <c r="B312" s="100"/>
      <c r="C312" s="101" t="s">
        <v>877</v>
      </c>
      <c r="D312" s="149"/>
      <c r="E312" s="31">
        <v>8257355</v>
      </c>
      <c r="F312" s="31"/>
      <c r="G312" s="31">
        <v>0</v>
      </c>
      <c r="H312" s="31">
        <v>0</v>
      </c>
      <c r="I312" s="31"/>
      <c r="J312" s="31">
        <f t="shared" si="28"/>
        <v>8257355</v>
      </c>
      <c r="K312" s="103" t="e">
        <f t="shared" si="27"/>
        <v>#REF!</v>
      </c>
    </row>
    <row r="313" spans="1:11" s="423" customFormat="1" x14ac:dyDescent="0.2">
      <c r="A313" s="99">
        <v>7504</v>
      </c>
      <c r="B313" s="100"/>
      <c r="C313" s="101" t="s">
        <v>686</v>
      </c>
      <c r="D313" s="149"/>
      <c r="E313" s="31">
        <v>940844</v>
      </c>
      <c r="F313" s="31"/>
      <c r="G313" s="31">
        <v>0</v>
      </c>
      <c r="H313" s="31">
        <v>0</v>
      </c>
      <c r="I313" s="31"/>
      <c r="J313" s="31">
        <f t="shared" si="28"/>
        <v>940844</v>
      </c>
      <c r="K313" s="103" t="e">
        <f t="shared" si="27"/>
        <v>#REF!</v>
      </c>
    </row>
    <row r="314" spans="1:11" s="423" customFormat="1" x14ac:dyDescent="0.2">
      <c r="A314" s="99">
        <v>7505</v>
      </c>
      <c r="B314" s="100"/>
      <c r="C314" s="101" t="s">
        <v>688</v>
      </c>
      <c r="D314" s="149"/>
      <c r="E314" s="31">
        <v>0</v>
      </c>
      <c r="F314" s="31"/>
      <c r="G314" s="31">
        <v>0</v>
      </c>
      <c r="H314" s="31"/>
      <c r="I314" s="31"/>
      <c r="J314" s="31">
        <f t="shared" si="28"/>
        <v>0</v>
      </c>
      <c r="K314" s="103" t="e">
        <f t="shared" si="27"/>
        <v>#REF!</v>
      </c>
    </row>
    <row r="315" spans="1:11" x14ac:dyDescent="0.2">
      <c r="A315" s="99">
        <v>7506</v>
      </c>
      <c r="B315" s="100"/>
      <c r="C315" s="101" t="s">
        <v>692</v>
      </c>
      <c r="D315" s="149"/>
      <c r="E315" s="31">
        <v>0</v>
      </c>
      <c r="F315" s="31"/>
      <c r="G315" s="31">
        <v>0</v>
      </c>
      <c r="H315" s="31">
        <v>0</v>
      </c>
      <c r="I315" s="31"/>
      <c r="J315" s="31">
        <f t="shared" si="28"/>
        <v>0</v>
      </c>
      <c r="K315" s="103" t="e">
        <f t="shared" si="27"/>
        <v>#REF!</v>
      </c>
    </row>
    <row r="316" spans="1:11" x14ac:dyDescent="0.2">
      <c r="A316" s="99">
        <v>7507</v>
      </c>
      <c r="B316" s="100"/>
      <c r="C316" s="101" t="s">
        <v>690</v>
      </c>
      <c r="D316" s="149"/>
      <c r="E316" s="31">
        <v>0</v>
      </c>
      <c r="F316" s="31"/>
      <c r="G316" s="31"/>
      <c r="H316" s="31"/>
      <c r="I316" s="31">
        <f>+H316+G316+F316+E316</f>
        <v>0</v>
      </c>
      <c r="J316" s="31">
        <f>E316+F316+G316+H316-I316</f>
        <v>0</v>
      </c>
      <c r="K316" s="103" t="e">
        <f t="shared" si="27"/>
        <v>#REF!</v>
      </c>
    </row>
    <row r="317" spans="1:11" x14ac:dyDescent="0.2">
      <c r="A317" s="82"/>
      <c r="B317" s="94"/>
      <c r="C317" s="95"/>
      <c r="D317" s="145"/>
      <c r="E317" s="34"/>
      <c r="F317" s="34"/>
      <c r="G317" s="34"/>
      <c r="H317" s="34"/>
      <c r="I317" s="34"/>
      <c r="J317" s="34"/>
      <c r="K317" s="105"/>
    </row>
    <row r="318" spans="1:11" x14ac:dyDescent="0.2">
      <c r="A318" s="99">
        <v>751</v>
      </c>
      <c r="B318" s="100"/>
      <c r="C318" s="101" t="s">
        <v>676</v>
      </c>
      <c r="D318" s="149"/>
      <c r="E318" s="31">
        <f>SUM(E319:E321)</f>
        <v>0</v>
      </c>
      <c r="F318" s="31">
        <v>2000000</v>
      </c>
      <c r="G318" s="31">
        <f>SUM(G319:G321)</f>
        <v>0</v>
      </c>
      <c r="H318" s="31">
        <v>0</v>
      </c>
      <c r="I318" s="31">
        <f>SUM(I319:I321)</f>
        <v>0</v>
      </c>
      <c r="J318" s="31">
        <f>+E318+F318+G318+H318-I318</f>
        <v>2000000</v>
      </c>
      <c r="K318" s="103" t="e">
        <f>J318/J$140*100</f>
        <v>#REF!</v>
      </c>
    </row>
    <row r="319" spans="1:11" x14ac:dyDescent="0.2">
      <c r="A319" s="99">
        <v>7510</v>
      </c>
      <c r="B319" s="100"/>
      <c r="C319" s="101" t="s">
        <v>694</v>
      </c>
      <c r="D319" s="149"/>
      <c r="E319" s="31"/>
      <c r="F319" s="31"/>
      <c r="G319" s="31">
        <v>0</v>
      </c>
      <c r="H319" s="31">
        <v>0</v>
      </c>
      <c r="I319" s="31">
        <v>0</v>
      </c>
      <c r="J319" s="31">
        <f>E319+F319+G319+H319-I319</f>
        <v>0</v>
      </c>
      <c r="K319" s="103" t="e">
        <f>J319/J$140*100</f>
        <v>#REF!</v>
      </c>
    </row>
    <row r="320" spans="1:11" x14ac:dyDescent="0.2">
      <c r="A320" s="99">
        <v>7511</v>
      </c>
      <c r="B320" s="100"/>
      <c r="C320" s="101" t="s">
        <v>696</v>
      </c>
      <c r="D320" s="149"/>
      <c r="E320" s="31"/>
      <c r="F320" s="31"/>
      <c r="G320" s="31">
        <v>0</v>
      </c>
      <c r="H320" s="31">
        <v>0</v>
      </c>
      <c r="I320" s="31">
        <v>0</v>
      </c>
      <c r="J320" s="31">
        <f>E320+F320+G320+H320-I320</f>
        <v>0</v>
      </c>
      <c r="K320" s="103" t="e">
        <f>J320/J$140*100</f>
        <v>#REF!</v>
      </c>
    </row>
    <row r="321" spans="1:11" x14ac:dyDescent="0.2">
      <c r="A321" s="99">
        <v>7512</v>
      </c>
      <c r="B321" s="100"/>
      <c r="C321" s="101" t="s">
        <v>698</v>
      </c>
      <c r="D321" s="149"/>
      <c r="E321" s="31"/>
      <c r="F321" s="31"/>
      <c r="G321" s="31">
        <v>0</v>
      </c>
      <c r="H321" s="31">
        <v>0</v>
      </c>
      <c r="I321" s="31">
        <v>0</v>
      </c>
      <c r="J321" s="31">
        <f>E321+F321+G321+H321-I321</f>
        <v>0</v>
      </c>
      <c r="K321" s="103" t="e">
        <f>J321/J$140*100</f>
        <v>#REF!</v>
      </c>
    </row>
    <row r="322" spans="1:11" x14ac:dyDescent="0.2">
      <c r="A322" s="82"/>
      <c r="B322" s="94"/>
      <c r="C322" s="95"/>
      <c r="D322" s="145"/>
      <c r="E322" s="34"/>
      <c r="F322" s="34"/>
      <c r="G322" s="34"/>
      <c r="H322" s="34"/>
      <c r="I322" s="34"/>
      <c r="J322" s="34"/>
      <c r="K322" s="150"/>
    </row>
    <row r="323" spans="1:11" x14ac:dyDescent="0.2">
      <c r="A323" s="99">
        <v>752</v>
      </c>
      <c r="B323" s="100"/>
      <c r="C323" s="101" t="s">
        <v>700</v>
      </c>
      <c r="D323" s="149"/>
      <c r="E323" s="31">
        <f>E324</f>
        <v>0</v>
      </c>
      <c r="F323" s="31">
        <f>F324</f>
        <v>679900</v>
      </c>
      <c r="G323" s="31">
        <f>G324</f>
        <v>0</v>
      </c>
      <c r="H323" s="31">
        <f>H324</f>
        <v>0</v>
      </c>
      <c r="I323" s="31">
        <f>I324</f>
        <v>0</v>
      </c>
      <c r="J323" s="31">
        <f>+E323+F323+G323+H323-I323</f>
        <v>679900</v>
      </c>
      <c r="K323" s="103" t="e">
        <f>J323/J$140*100</f>
        <v>#REF!</v>
      </c>
    </row>
    <row r="324" spans="1:11" x14ac:dyDescent="0.2">
      <c r="A324" s="99">
        <v>7520</v>
      </c>
      <c r="B324" s="100"/>
      <c r="C324" s="101" t="s">
        <v>102</v>
      </c>
      <c r="D324" s="149"/>
      <c r="E324" s="31"/>
      <c r="F324" s="31">
        <v>679900</v>
      </c>
      <c r="G324" s="31">
        <v>0</v>
      </c>
      <c r="H324" s="31">
        <v>0</v>
      </c>
      <c r="I324" s="31">
        <v>0</v>
      </c>
      <c r="J324" s="31">
        <f>E324+F324+G324+H324-I324</f>
        <v>679900</v>
      </c>
      <c r="K324" s="103" t="e">
        <f>J324/J$140*100</f>
        <v>#REF!</v>
      </c>
    </row>
    <row r="325" spans="1:11" ht="15.75" thickBot="1" x14ac:dyDescent="0.25">
      <c r="A325" s="120"/>
      <c r="B325" s="121"/>
      <c r="C325" s="122"/>
      <c r="D325" s="160"/>
      <c r="E325" s="161"/>
      <c r="F325" s="161"/>
      <c r="G325" s="161"/>
      <c r="H325" s="161"/>
      <c r="I325" s="161"/>
      <c r="J325" s="161"/>
      <c r="K325" s="166"/>
    </row>
    <row r="326" spans="1:11" ht="15.75" thickTop="1" x14ac:dyDescent="0.2">
      <c r="A326" s="135"/>
      <c r="B326" s="136"/>
      <c r="C326" s="137"/>
      <c r="D326" s="163"/>
      <c r="E326" s="164"/>
      <c r="F326" s="164"/>
      <c r="G326" s="164"/>
      <c r="H326" s="164"/>
      <c r="I326" s="164"/>
      <c r="J326" s="164"/>
      <c r="K326" s="198"/>
    </row>
    <row r="327" spans="1:11" ht="15.75" x14ac:dyDescent="0.25">
      <c r="A327" s="69"/>
      <c r="B327" s="70" t="s">
        <v>104</v>
      </c>
      <c r="C327" s="77" t="s">
        <v>105</v>
      </c>
      <c r="D327" s="142"/>
      <c r="E327" s="73"/>
      <c r="F327" s="73"/>
      <c r="G327" s="73"/>
      <c r="H327" s="73"/>
      <c r="I327" s="73"/>
      <c r="J327" s="73"/>
      <c r="K327" s="93"/>
    </row>
    <row r="328" spans="1:11" ht="15.75" x14ac:dyDescent="0.25">
      <c r="A328" s="69"/>
      <c r="B328" s="70"/>
      <c r="C328" s="77" t="s">
        <v>107</v>
      </c>
      <c r="D328" s="142"/>
      <c r="E328" s="73">
        <f t="shared" ref="E328:J328" si="29">E330+E339+E347+E352</f>
        <v>8313577</v>
      </c>
      <c r="F328" s="73">
        <f t="shared" si="29"/>
        <v>1911846.4078786843</v>
      </c>
      <c r="G328" s="73">
        <f t="shared" si="29"/>
        <v>0</v>
      </c>
      <c r="H328" s="73">
        <f t="shared" si="29"/>
        <v>0</v>
      </c>
      <c r="I328" s="73">
        <f t="shared" si="29"/>
        <v>0</v>
      </c>
      <c r="J328" s="73">
        <f t="shared" si="29"/>
        <v>10225423.407878684</v>
      </c>
      <c r="K328" s="197" t="e">
        <f>J328/J$140*100</f>
        <v>#REF!</v>
      </c>
    </row>
    <row r="329" spans="1:11" x14ac:dyDescent="0.2">
      <c r="A329" s="82"/>
      <c r="B329" s="94"/>
      <c r="C329" s="95"/>
      <c r="D329" s="145"/>
      <c r="E329" s="34"/>
      <c r="F329" s="34"/>
      <c r="G329" s="34"/>
      <c r="H329" s="34"/>
      <c r="I329" s="34"/>
      <c r="J329" s="34"/>
      <c r="K329" s="105"/>
    </row>
    <row r="330" spans="1:11" x14ac:dyDescent="0.2">
      <c r="A330" s="99">
        <v>440</v>
      </c>
      <c r="B330" s="100"/>
      <c r="C330" s="101" t="s">
        <v>109</v>
      </c>
      <c r="D330" s="149"/>
      <c r="E330" s="31">
        <f>SUM(E331:E337)</f>
        <v>2533628</v>
      </c>
      <c r="F330" s="31">
        <v>1141918.1808858141</v>
      </c>
      <c r="G330" s="31">
        <v>0</v>
      </c>
      <c r="H330" s="31">
        <v>0</v>
      </c>
      <c r="I330" s="31">
        <f>SUM(I331:I337)</f>
        <v>0</v>
      </c>
      <c r="J330" s="31">
        <f>+E330+F330+G330+H330-I330</f>
        <v>3675546.1808858141</v>
      </c>
      <c r="K330" s="103" t="e">
        <f t="shared" ref="K330:K337" si="30">J330/J$140*100</f>
        <v>#REF!</v>
      </c>
    </row>
    <row r="331" spans="1:11" x14ac:dyDescent="0.2">
      <c r="A331" s="99">
        <v>4400</v>
      </c>
      <c r="B331" s="100"/>
      <c r="C331" s="101" t="s">
        <v>111</v>
      </c>
      <c r="D331" s="149"/>
      <c r="E331" s="31">
        <v>4000</v>
      </c>
      <c r="F331" s="31"/>
      <c r="G331" s="31">
        <v>0</v>
      </c>
      <c r="H331" s="31">
        <v>0</v>
      </c>
      <c r="I331" s="31">
        <v>0</v>
      </c>
      <c r="J331" s="31">
        <f t="shared" ref="J331:J337" si="31">E331+F331+G331+H331</f>
        <v>4000</v>
      </c>
      <c r="K331" s="103" t="e">
        <f t="shared" si="30"/>
        <v>#REF!</v>
      </c>
    </row>
    <row r="332" spans="1:11" x14ac:dyDescent="0.2">
      <c r="A332" s="99">
        <v>4401</v>
      </c>
      <c r="B332" s="100"/>
      <c r="C332" s="101" t="s">
        <v>113</v>
      </c>
      <c r="D332" s="149"/>
      <c r="E332" s="31">
        <v>0</v>
      </c>
      <c r="F332" s="31"/>
      <c r="G332" s="31">
        <v>0</v>
      </c>
      <c r="H332" s="31">
        <v>0</v>
      </c>
      <c r="I332" s="31">
        <v>0</v>
      </c>
      <c r="J332" s="31">
        <f t="shared" si="31"/>
        <v>0</v>
      </c>
      <c r="K332" s="103" t="e">
        <f t="shared" si="30"/>
        <v>#REF!</v>
      </c>
    </row>
    <row r="333" spans="1:11" x14ac:dyDescent="0.2">
      <c r="A333" s="99">
        <v>4402</v>
      </c>
      <c r="B333" s="100"/>
      <c r="C333" s="101" t="s">
        <v>115</v>
      </c>
      <c r="D333" s="149"/>
      <c r="E333" s="31">
        <v>0</v>
      </c>
      <c r="F333" s="31"/>
      <c r="G333" s="31">
        <v>0</v>
      </c>
      <c r="H333" s="31">
        <v>0</v>
      </c>
      <c r="I333" s="31">
        <v>0</v>
      </c>
      <c r="J333" s="31">
        <f t="shared" si="31"/>
        <v>0</v>
      </c>
      <c r="K333" s="103" t="e">
        <f t="shared" si="30"/>
        <v>#REF!</v>
      </c>
    </row>
    <row r="334" spans="1:11" x14ac:dyDescent="0.2">
      <c r="A334" s="99">
        <v>4403</v>
      </c>
      <c r="B334" s="100"/>
      <c r="C334" s="101" t="s">
        <v>117</v>
      </c>
      <c r="D334" s="149"/>
      <c r="E334" s="31">
        <v>0</v>
      </c>
      <c r="F334" s="31"/>
      <c r="G334" s="31">
        <v>0</v>
      </c>
      <c r="H334" s="31">
        <v>0</v>
      </c>
      <c r="I334" s="31">
        <v>0</v>
      </c>
      <c r="J334" s="31">
        <f t="shared" si="31"/>
        <v>0</v>
      </c>
      <c r="K334" s="103" t="e">
        <f t="shared" si="30"/>
        <v>#REF!</v>
      </c>
    </row>
    <row r="335" spans="1:11" x14ac:dyDescent="0.2">
      <c r="A335" s="99">
        <v>4404</v>
      </c>
      <c r="B335" s="100"/>
      <c r="C335" s="101" t="s">
        <v>119</v>
      </c>
      <c r="D335" s="149"/>
      <c r="E335" s="31">
        <v>2529628</v>
      </c>
      <c r="F335" s="31"/>
      <c r="G335" s="31">
        <v>0</v>
      </c>
      <c r="H335" s="31">
        <v>0</v>
      </c>
      <c r="I335" s="31">
        <v>0</v>
      </c>
      <c r="J335" s="31">
        <f t="shared" si="31"/>
        <v>2529628</v>
      </c>
      <c r="K335" s="103" t="e">
        <f t="shared" si="30"/>
        <v>#REF!</v>
      </c>
    </row>
    <row r="336" spans="1:11" x14ac:dyDescent="0.2">
      <c r="A336" s="106">
        <v>4405</v>
      </c>
      <c r="B336" s="107"/>
      <c r="C336" s="108" t="s">
        <v>121</v>
      </c>
      <c r="D336" s="153"/>
      <c r="E336" s="109">
        <v>0</v>
      </c>
      <c r="F336" s="109"/>
      <c r="G336" s="109">
        <v>0</v>
      </c>
      <c r="H336" s="109">
        <v>0</v>
      </c>
      <c r="I336" s="109">
        <v>0</v>
      </c>
      <c r="J336" s="109">
        <f t="shared" si="31"/>
        <v>0</v>
      </c>
      <c r="K336" s="103" t="e">
        <f t="shared" si="30"/>
        <v>#REF!</v>
      </c>
    </row>
    <row r="337" spans="1:11" x14ac:dyDescent="0.2">
      <c r="A337" s="99">
        <v>4406</v>
      </c>
      <c r="B337" s="100"/>
      <c r="C337" s="101" t="s">
        <v>123</v>
      </c>
      <c r="D337" s="149"/>
      <c r="E337" s="31">
        <v>0</v>
      </c>
      <c r="F337" s="31"/>
      <c r="G337" s="31">
        <v>0</v>
      </c>
      <c r="H337" s="31">
        <v>0</v>
      </c>
      <c r="I337" s="31"/>
      <c r="J337" s="31">
        <f t="shared" si="31"/>
        <v>0</v>
      </c>
      <c r="K337" s="103" t="e">
        <f t="shared" si="30"/>
        <v>#REF!</v>
      </c>
    </row>
    <row r="338" spans="1:11" x14ac:dyDescent="0.2">
      <c r="A338" s="82"/>
      <c r="B338" s="94"/>
      <c r="C338" s="95"/>
      <c r="D338" s="145"/>
      <c r="E338" s="34"/>
      <c r="F338" s="34"/>
      <c r="G338" s="34"/>
      <c r="H338" s="34"/>
      <c r="I338" s="34"/>
      <c r="J338" s="34"/>
      <c r="K338" s="105"/>
    </row>
    <row r="339" spans="1:11" x14ac:dyDescent="0.2">
      <c r="A339" s="99">
        <v>441</v>
      </c>
      <c r="B339" s="100"/>
      <c r="C339" s="101" t="s">
        <v>125</v>
      </c>
      <c r="D339" s="149"/>
      <c r="E339" s="31">
        <f>SUM(E340:E344)</f>
        <v>4279949</v>
      </c>
      <c r="F339" s="31">
        <v>769928.22699287022</v>
      </c>
      <c r="G339" s="31">
        <v>0</v>
      </c>
      <c r="H339" s="31">
        <v>0</v>
      </c>
      <c r="I339" s="31">
        <f>SUM(I340:I344)</f>
        <v>0</v>
      </c>
      <c r="J339" s="31">
        <f>+E339+F339+G339+H339-I339</f>
        <v>5049877.2269928697</v>
      </c>
      <c r="K339" s="103" t="e">
        <f t="shared" ref="K339:K345" si="32">J339/J$140*100</f>
        <v>#REF!</v>
      </c>
    </row>
    <row r="340" spans="1:11" x14ac:dyDescent="0.2">
      <c r="A340" s="99">
        <v>4410</v>
      </c>
      <c r="B340" s="100"/>
      <c r="C340" s="101" t="s">
        <v>701</v>
      </c>
      <c r="D340" s="149"/>
      <c r="E340" s="31">
        <v>200000</v>
      </c>
      <c r="F340" s="31"/>
      <c r="G340" s="31">
        <v>0</v>
      </c>
      <c r="H340" s="31">
        <v>0</v>
      </c>
      <c r="I340" s="31">
        <v>0</v>
      </c>
      <c r="J340" s="31">
        <f t="shared" ref="J340:J345" si="33">E340+F340+G340+H340</f>
        <v>200000</v>
      </c>
      <c r="K340" s="103" t="e">
        <f t="shared" si="32"/>
        <v>#REF!</v>
      </c>
    </row>
    <row r="341" spans="1:11" x14ac:dyDescent="0.2">
      <c r="A341" s="99">
        <v>4411</v>
      </c>
      <c r="B341" s="100"/>
      <c r="C341" s="101" t="s">
        <v>703</v>
      </c>
      <c r="D341" s="149"/>
      <c r="E341" s="31">
        <v>0</v>
      </c>
      <c r="F341" s="31"/>
      <c r="G341" s="31">
        <v>0</v>
      </c>
      <c r="H341" s="31">
        <v>0</v>
      </c>
      <c r="I341" s="31">
        <v>0</v>
      </c>
      <c r="J341" s="31">
        <f t="shared" si="33"/>
        <v>0</v>
      </c>
      <c r="K341" s="103" t="e">
        <f t="shared" si="32"/>
        <v>#REF!</v>
      </c>
    </row>
    <row r="342" spans="1:11" x14ac:dyDescent="0.2">
      <c r="A342" s="99">
        <v>4412</v>
      </c>
      <c r="B342" s="100"/>
      <c r="C342" s="101" t="s">
        <v>705</v>
      </c>
      <c r="D342" s="149"/>
      <c r="E342" s="31">
        <v>45000</v>
      </c>
      <c r="F342" s="31"/>
      <c r="G342" s="31">
        <v>0</v>
      </c>
      <c r="H342" s="31">
        <v>0</v>
      </c>
      <c r="I342" s="31">
        <v>0</v>
      </c>
      <c r="J342" s="31">
        <f t="shared" si="33"/>
        <v>45000</v>
      </c>
      <c r="K342" s="103" t="e">
        <f t="shared" si="32"/>
        <v>#REF!</v>
      </c>
    </row>
    <row r="343" spans="1:11" x14ac:dyDescent="0.2">
      <c r="A343" s="99">
        <v>4413</v>
      </c>
      <c r="B343" s="100"/>
      <c r="C343" s="101" t="s">
        <v>707</v>
      </c>
      <c r="D343" s="149"/>
      <c r="E343" s="31">
        <v>0</v>
      </c>
      <c r="F343" s="31"/>
      <c r="G343" s="31">
        <v>0</v>
      </c>
      <c r="H343" s="31">
        <v>0</v>
      </c>
      <c r="I343" s="31">
        <v>0</v>
      </c>
      <c r="J343" s="31">
        <f t="shared" si="33"/>
        <v>0</v>
      </c>
      <c r="K343" s="103" t="e">
        <f t="shared" si="32"/>
        <v>#REF!</v>
      </c>
    </row>
    <row r="344" spans="1:11" x14ac:dyDescent="0.2">
      <c r="A344" s="99">
        <v>4414</v>
      </c>
      <c r="B344" s="100"/>
      <c r="C344" s="101" t="s">
        <v>709</v>
      </c>
      <c r="D344" s="149"/>
      <c r="E344" s="31">
        <v>4034949</v>
      </c>
      <c r="F344" s="31"/>
      <c r="G344" s="31">
        <v>0</v>
      </c>
      <c r="H344" s="31">
        <v>0</v>
      </c>
      <c r="I344" s="31">
        <v>0</v>
      </c>
      <c r="J344" s="31">
        <f t="shared" si="33"/>
        <v>4034949</v>
      </c>
      <c r="K344" s="103" t="e">
        <f t="shared" si="32"/>
        <v>#REF!</v>
      </c>
    </row>
    <row r="345" spans="1:11" x14ac:dyDescent="0.2">
      <c r="A345" s="99">
        <v>4415</v>
      </c>
      <c r="B345" s="100"/>
      <c r="C345" s="101" t="s">
        <v>835</v>
      </c>
      <c r="D345" s="149"/>
      <c r="E345" s="31">
        <v>0</v>
      </c>
      <c r="F345" s="31"/>
      <c r="G345" s="31">
        <v>0</v>
      </c>
      <c r="H345" s="31">
        <v>0</v>
      </c>
      <c r="I345" s="31">
        <v>0</v>
      </c>
      <c r="J345" s="31">
        <f t="shared" si="33"/>
        <v>0</v>
      </c>
      <c r="K345" s="103" t="e">
        <f t="shared" si="32"/>
        <v>#REF!</v>
      </c>
    </row>
    <row r="346" spans="1:11" x14ac:dyDescent="0.2">
      <c r="A346" s="82"/>
      <c r="B346" s="94"/>
      <c r="C346" s="95"/>
      <c r="D346" s="145"/>
      <c r="E346" s="34"/>
      <c r="F346" s="34"/>
      <c r="G346" s="34"/>
      <c r="H346" s="34"/>
      <c r="I346" s="34"/>
      <c r="J346" s="34"/>
      <c r="K346" s="150"/>
    </row>
    <row r="347" spans="1:11" x14ac:dyDescent="0.2">
      <c r="A347" s="99">
        <v>442</v>
      </c>
      <c r="B347" s="100"/>
      <c r="C347" s="101" t="s">
        <v>711</v>
      </c>
      <c r="D347" s="149"/>
      <c r="E347" s="31">
        <f>SUM(E348:E350)</f>
        <v>0</v>
      </c>
      <c r="F347" s="31">
        <f>F348+F349</f>
        <v>0</v>
      </c>
      <c r="G347" s="31">
        <v>0</v>
      </c>
      <c r="H347" s="31">
        <f>H348+H349</f>
        <v>0</v>
      </c>
      <c r="I347" s="31">
        <f>I348+I349</f>
        <v>0</v>
      </c>
      <c r="J347" s="31">
        <f>+E347+F347+G347+H347-I347</f>
        <v>0</v>
      </c>
      <c r="K347" s="103" t="e">
        <f>J347/J$140*100</f>
        <v>#REF!</v>
      </c>
    </row>
    <row r="348" spans="1:11" x14ac:dyDescent="0.2">
      <c r="A348" s="99">
        <v>4420</v>
      </c>
      <c r="B348" s="100"/>
      <c r="C348" s="101" t="s">
        <v>713</v>
      </c>
      <c r="D348" s="149"/>
      <c r="E348" s="31"/>
      <c r="F348" s="31">
        <v>0</v>
      </c>
      <c r="G348" s="31">
        <v>0</v>
      </c>
      <c r="H348" s="31">
        <v>0</v>
      </c>
      <c r="I348" s="31">
        <v>0</v>
      </c>
      <c r="J348" s="31">
        <f>E348+F348+G348+H348</f>
        <v>0</v>
      </c>
      <c r="K348" s="103" t="e">
        <f>J348/J$140*100</f>
        <v>#REF!</v>
      </c>
    </row>
    <row r="349" spans="1:11" x14ac:dyDescent="0.2">
      <c r="A349" s="99">
        <v>4421</v>
      </c>
      <c r="B349" s="100"/>
      <c r="C349" s="101" t="s">
        <v>715</v>
      </c>
      <c r="D349" s="149"/>
      <c r="E349" s="31"/>
      <c r="F349" s="31">
        <v>0</v>
      </c>
      <c r="G349" s="31">
        <v>0</v>
      </c>
      <c r="H349" s="31">
        <v>0</v>
      </c>
      <c r="I349" s="31">
        <v>0</v>
      </c>
      <c r="J349" s="31">
        <f>E349+F349+G349+H349</f>
        <v>0</v>
      </c>
      <c r="K349" s="103" t="e">
        <f>J349/J$140*100</f>
        <v>#REF!</v>
      </c>
    </row>
    <row r="350" spans="1:11" x14ac:dyDescent="0.2">
      <c r="A350" s="99">
        <v>4422</v>
      </c>
      <c r="B350" s="100"/>
      <c r="C350" s="101" t="s">
        <v>824</v>
      </c>
      <c r="D350" s="149"/>
      <c r="E350" s="31"/>
      <c r="F350" s="31">
        <v>0</v>
      </c>
      <c r="G350" s="31">
        <v>0</v>
      </c>
      <c r="H350" s="31">
        <v>0</v>
      </c>
      <c r="I350" s="31">
        <v>0</v>
      </c>
      <c r="J350" s="31">
        <f>E350+F350+G350+H350</f>
        <v>0</v>
      </c>
      <c r="K350" s="103" t="e">
        <f>J350/J$140*100</f>
        <v>#REF!</v>
      </c>
    </row>
    <row r="351" spans="1:11" x14ac:dyDescent="0.2">
      <c r="A351" s="204"/>
      <c r="B351" s="205"/>
      <c r="C351" s="206"/>
      <c r="D351" s="424"/>
      <c r="E351" s="383"/>
      <c r="F351" s="383"/>
      <c r="G351" s="383"/>
      <c r="H351" s="383"/>
      <c r="I351" s="383"/>
      <c r="J351" s="383"/>
      <c r="K351" s="425"/>
    </row>
    <row r="352" spans="1:11" x14ac:dyDescent="0.2">
      <c r="A352" s="204">
        <v>443</v>
      </c>
      <c r="B352" s="205"/>
      <c r="C352" s="206" t="s">
        <v>878</v>
      </c>
      <c r="D352" s="424"/>
      <c r="E352" s="383">
        <f>+E353</f>
        <v>1500000</v>
      </c>
      <c r="F352" s="383">
        <f>+F353</f>
        <v>0</v>
      </c>
      <c r="G352" s="383">
        <f>+G353</f>
        <v>0</v>
      </c>
      <c r="H352" s="383">
        <f>+H353</f>
        <v>0</v>
      </c>
      <c r="I352" s="383">
        <f>+I353</f>
        <v>0</v>
      </c>
      <c r="J352" s="31">
        <f>+E352+F352+G352+H352-I352</f>
        <v>1500000</v>
      </c>
      <c r="K352" s="425"/>
    </row>
    <row r="353" spans="1:11" x14ac:dyDescent="0.2">
      <c r="A353" s="204">
        <v>4430</v>
      </c>
      <c r="B353" s="205"/>
      <c r="C353" s="206" t="s">
        <v>879</v>
      </c>
      <c r="D353" s="424"/>
      <c r="E353" s="383">
        <v>1500000</v>
      </c>
      <c r="F353" s="383"/>
      <c r="G353" s="383"/>
      <c r="H353" s="383"/>
      <c r="I353" s="383"/>
      <c r="J353" s="383">
        <f>+E353+F353+G353+H353+-I353</f>
        <v>1500000</v>
      </c>
      <c r="K353" s="425"/>
    </row>
    <row r="354" spans="1:11" ht="15.75" thickBot="1" x14ac:dyDescent="0.25">
      <c r="A354" s="120"/>
      <c r="B354" s="121"/>
      <c r="C354" s="122"/>
      <c r="D354" s="160"/>
      <c r="E354" s="161"/>
      <c r="F354" s="161"/>
      <c r="G354" s="161"/>
      <c r="H354" s="161"/>
      <c r="I354" s="161"/>
      <c r="J354" s="161"/>
      <c r="K354" s="166"/>
    </row>
    <row r="355" spans="1:11" ht="15.75" thickTop="1" x14ac:dyDescent="0.2">
      <c r="A355" s="135"/>
      <c r="B355" s="136"/>
      <c r="C355" s="137"/>
      <c r="D355" s="163"/>
      <c r="E355" s="164"/>
      <c r="F355" s="164"/>
      <c r="G355" s="164"/>
      <c r="H355" s="164"/>
      <c r="I355" s="164"/>
      <c r="J355" s="164"/>
      <c r="K355" s="198"/>
    </row>
    <row r="356" spans="1:11" ht="15.75" x14ac:dyDescent="0.25">
      <c r="A356" s="69"/>
      <c r="B356" s="70" t="s">
        <v>717</v>
      </c>
      <c r="C356" s="77" t="s">
        <v>718</v>
      </c>
      <c r="D356" s="142"/>
      <c r="E356" s="73">
        <f t="shared" ref="E356:J356" si="34">E306-E328</f>
        <v>1066451</v>
      </c>
      <c r="F356" s="73">
        <f t="shared" si="34"/>
        <v>2712799.9641593159</v>
      </c>
      <c r="G356" s="73">
        <f t="shared" si="34"/>
        <v>64572</v>
      </c>
      <c r="H356" s="73">
        <f t="shared" si="34"/>
        <v>0</v>
      </c>
      <c r="I356" s="73">
        <f t="shared" si="34"/>
        <v>0</v>
      </c>
      <c r="J356" s="199">
        <f t="shared" si="34"/>
        <v>3843822.9641593155</v>
      </c>
      <c r="K356" s="197" t="e">
        <f>J356/J$140*100</f>
        <v>#REF!</v>
      </c>
    </row>
    <row r="357" spans="1:11" ht="15.75" x14ac:dyDescent="0.25">
      <c r="A357" s="69"/>
      <c r="B357" s="70"/>
      <c r="C357" s="77" t="s">
        <v>719</v>
      </c>
      <c r="D357" s="142"/>
      <c r="E357" s="73"/>
      <c r="F357" s="73"/>
      <c r="G357" s="73"/>
      <c r="H357" s="73"/>
      <c r="I357" s="73"/>
      <c r="J357" s="175"/>
      <c r="K357" s="93"/>
    </row>
    <row r="358" spans="1:11" ht="15.75" x14ac:dyDescent="0.25">
      <c r="A358" s="88"/>
      <c r="B358" s="89"/>
      <c r="C358" s="90" t="s">
        <v>721</v>
      </c>
      <c r="D358" s="146"/>
      <c r="E358" s="32"/>
      <c r="F358" s="32"/>
      <c r="G358" s="32"/>
      <c r="H358" s="32"/>
      <c r="I358" s="32"/>
      <c r="J358" s="29"/>
      <c r="K358" s="93"/>
    </row>
    <row r="359" spans="1:11" ht="15.75" thickBot="1" x14ac:dyDescent="0.25">
      <c r="A359" s="178"/>
      <c r="B359" s="179"/>
      <c r="C359" s="180"/>
      <c r="D359" s="181"/>
      <c r="E359" s="182"/>
      <c r="F359" s="182"/>
      <c r="G359" s="182"/>
      <c r="H359" s="182"/>
      <c r="I359" s="182"/>
      <c r="J359" s="182"/>
      <c r="K359" s="200"/>
    </row>
    <row r="360" spans="1:11" ht="15.75" thickTop="1" x14ac:dyDescent="0.2">
      <c r="A360" s="53"/>
      <c r="B360" s="53"/>
      <c r="C360" s="54"/>
      <c r="D360" s="54"/>
      <c r="E360" s="51"/>
      <c r="F360" s="51"/>
      <c r="G360" s="51"/>
      <c r="H360" s="51"/>
      <c r="I360" s="51"/>
      <c r="J360" s="51"/>
      <c r="K360" s="51"/>
    </row>
    <row r="361" spans="1:11" x14ac:dyDescent="0.2">
      <c r="A361" s="53"/>
      <c r="B361" s="53"/>
      <c r="C361" s="54"/>
      <c r="D361" s="54"/>
      <c r="E361" s="51"/>
      <c r="F361" s="51"/>
      <c r="G361" s="51"/>
      <c r="H361" s="51"/>
      <c r="I361" s="51"/>
      <c r="J361" s="51"/>
      <c r="K361" s="51"/>
    </row>
    <row r="362" spans="1:11" x14ac:dyDescent="0.2">
      <c r="A362" s="53"/>
      <c r="B362" s="53"/>
      <c r="C362" s="54"/>
      <c r="D362" s="54"/>
      <c r="E362" s="51"/>
      <c r="F362" s="51"/>
      <c r="G362" s="51"/>
      <c r="H362" s="51"/>
      <c r="I362" s="51"/>
      <c r="J362" s="51"/>
      <c r="K362" s="51"/>
    </row>
    <row r="363" spans="1:11" ht="23.25" x14ac:dyDescent="0.35">
      <c r="A363" s="201"/>
      <c r="B363" s="237" t="s">
        <v>791</v>
      </c>
      <c r="C363" s="239" t="s">
        <v>792</v>
      </c>
      <c r="D363" s="262" t="s">
        <v>844</v>
      </c>
      <c r="E363" s="238"/>
      <c r="F363" s="263"/>
      <c r="G363" s="263"/>
      <c r="H363" s="263"/>
      <c r="I363" s="9"/>
      <c r="J363" s="9"/>
      <c r="K363" s="9"/>
    </row>
    <row r="364" spans="1:11" x14ac:dyDescent="0.2">
      <c r="A364" s="53"/>
      <c r="B364" s="53"/>
      <c r="C364" s="54"/>
      <c r="D364" s="54"/>
      <c r="E364" s="51"/>
      <c r="F364" s="51"/>
      <c r="G364" s="51"/>
      <c r="H364" s="51"/>
      <c r="I364" s="51"/>
      <c r="J364" s="51"/>
      <c r="K364" s="51"/>
    </row>
    <row r="365" spans="1:11" ht="16.5" thickBot="1" x14ac:dyDescent="0.3">
      <c r="A365" s="305"/>
      <c r="B365" s="305"/>
      <c r="C365" s="346"/>
      <c r="D365" s="346"/>
      <c r="E365" s="241"/>
      <c r="F365" s="241"/>
      <c r="G365" s="241"/>
      <c r="H365" s="241"/>
      <c r="I365" s="55" t="s">
        <v>208</v>
      </c>
      <c r="J365" s="55"/>
      <c r="K365" s="241"/>
    </row>
    <row r="366" spans="1:11" ht="16.5" thickTop="1" x14ac:dyDescent="0.25">
      <c r="A366" s="306"/>
      <c r="B366" s="317"/>
      <c r="C366" s="347"/>
      <c r="D366" s="373"/>
      <c r="E366" s="334"/>
      <c r="F366" s="335"/>
      <c r="G366" s="335"/>
      <c r="H366" s="335"/>
      <c r="I366" s="335"/>
      <c r="J366" s="339"/>
      <c r="K366" s="276"/>
    </row>
    <row r="367" spans="1:11" ht="20.25" x14ac:dyDescent="0.3">
      <c r="A367" s="307"/>
      <c r="B367" s="242"/>
      <c r="C367" s="345"/>
      <c r="D367" s="374"/>
      <c r="E367" s="336" t="str">
        <f>+E15</f>
        <v xml:space="preserve">   2  0  0  4</v>
      </c>
      <c r="F367" s="337"/>
      <c r="G367" s="337"/>
      <c r="H367" s="337"/>
      <c r="I367" s="337"/>
      <c r="J367" s="340"/>
      <c r="K367" s="277" t="s">
        <v>209</v>
      </c>
    </row>
    <row r="368" spans="1:11" ht="15.75" x14ac:dyDescent="0.25">
      <c r="A368" s="307"/>
      <c r="B368" s="242"/>
      <c r="C368" s="345"/>
      <c r="D368" s="374"/>
      <c r="E368" s="278"/>
      <c r="F368" s="279"/>
      <c r="G368" s="280"/>
      <c r="H368" s="281"/>
      <c r="I368" s="282" t="s">
        <v>210</v>
      </c>
      <c r="J368" s="282" t="s">
        <v>211</v>
      </c>
      <c r="K368" s="277" t="s">
        <v>212</v>
      </c>
    </row>
    <row r="369" spans="1:11" ht="15.75" x14ac:dyDescent="0.25">
      <c r="A369" s="329" t="s">
        <v>213</v>
      </c>
      <c r="B369" s="242"/>
      <c r="C369" s="345"/>
      <c r="D369" s="374"/>
      <c r="E369" s="283" t="s">
        <v>214</v>
      </c>
      <c r="F369" s="284" t="s">
        <v>215</v>
      </c>
      <c r="G369" s="288" t="s">
        <v>216</v>
      </c>
      <c r="H369" s="289" t="s">
        <v>217</v>
      </c>
      <c r="I369" s="285" t="s">
        <v>218</v>
      </c>
      <c r="J369" s="285" t="s">
        <v>219</v>
      </c>
      <c r="K369" s="277" t="s">
        <v>220</v>
      </c>
    </row>
    <row r="370" spans="1:11" ht="15.75" x14ac:dyDescent="0.25">
      <c r="A370" s="307"/>
      <c r="B370" s="242"/>
      <c r="C370" s="345"/>
      <c r="D370" s="374"/>
      <c r="E370" s="283" t="s">
        <v>221</v>
      </c>
      <c r="F370" s="284" t="s">
        <v>222</v>
      </c>
      <c r="G370" s="288"/>
      <c r="H370" s="289"/>
      <c r="I370" s="294" t="s">
        <v>223</v>
      </c>
      <c r="J370" s="285" t="s">
        <v>224</v>
      </c>
      <c r="K370" s="277" t="s">
        <v>225</v>
      </c>
    </row>
    <row r="371" spans="1:11" ht="16.5" thickBot="1" x14ac:dyDescent="0.3">
      <c r="A371" s="308"/>
      <c r="B371" s="243"/>
      <c r="C371" s="346"/>
      <c r="D371" s="375"/>
      <c r="E371" s="290"/>
      <c r="F371" s="291"/>
      <c r="G371" s="292"/>
      <c r="H371" s="293"/>
      <c r="I371" s="295" t="s">
        <v>226</v>
      </c>
      <c r="J371" s="286"/>
      <c r="K371" s="287" t="s">
        <v>228</v>
      </c>
    </row>
    <row r="372" spans="1:11" ht="15.75" thickTop="1" x14ac:dyDescent="0.2">
      <c r="A372" s="57"/>
      <c r="B372" s="58"/>
      <c r="C372" s="59"/>
      <c r="D372" s="60"/>
      <c r="E372" s="260" t="s">
        <v>229</v>
      </c>
      <c r="F372" s="260" t="s">
        <v>230</v>
      </c>
      <c r="G372" s="260" t="s">
        <v>231</v>
      </c>
      <c r="H372" s="260" t="s">
        <v>232</v>
      </c>
      <c r="I372" s="260" t="s">
        <v>233</v>
      </c>
      <c r="J372" s="260" t="s">
        <v>234</v>
      </c>
      <c r="K372" s="272"/>
    </row>
    <row r="373" spans="1:11" ht="15.75" x14ac:dyDescent="0.25">
      <c r="A373" s="69"/>
      <c r="B373" s="70" t="s">
        <v>830</v>
      </c>
      <c r="C373" s="77" t="s">
        <v>730</v>
      </c>
      <c r="D373" s="142"/>
      <c r="E373" s="73">
        <f>+E375+E384</f>
        <v>270658589</v>
      </c>
      <c r="F373" s="73">
        <f>F375+F384</f>
        <v>1700000</v>
      </c>
      <c r="G373" s="73">
        <f>G375+G384</f>
        <v>0</v>
      </c>
      <c r="H373" s="73">
        <f>H375+H384</f>
        <v>4100000</v>
      </c>
      <c r="I373" s="73">
        <v>0</v>
      </c>
      <c r="J373" s="199">
        <f>E373+F373+G373+H373</f>
        <v>276458589</v>
      </c>
      <c r="K373" s="197" t="e">
        <f>J373/J$140*100</f>
        <v>#REF!</v>
      </c>
    </row>
    <row r="374" spans="1:11" x14ac:dyDescent="0.2">
      <c r="A374" s="82"/>
      <c r="B374" s="94"/>
      <c r="C374" s="95"/>
      <c r="D374" s="145"/>
      <c r="E374" s="34"/>
      <c r="F374" s="34"/>
      <c r="G374" s="34"/>
      <c r="H374" s="34"/>
      <c r="I374" s="34"/>
      <c r="J374" s="34"/>
      <c r="K374" s="105"/>
    </row>
    <row r="375" spans="1:11" x14ac:dyDescent="0.2">
      <c r="A375" s="99">
        <v>500</v>
      </c>
      <c r="B375" s="100"/>
      <c r="C375" s="101" t="s">
        <v>732</v>
      </c>
      <c r="D375" s="149"/>
      <c r="E375" s="259">
        <f>+E377+E378+E379+E380+E382</f>
        <v>270658589</v>
      </c>
      <c r="F375" s="259">
        <v>1700000</v>
      </c>
      <c r="G375" s="259">
        <f>+G377+G378+G379+G380+G382</f>
        <v>0</v>
      </c>
      <c r="H375" s="259">
        <f>+H377+H378+H379+H380+H382</f>
        <v>4100000</v>
      </c>
      <c r="I375" s="259">
        <f>+I377+I378+I379+I380+I382</f>
        <v>0</v>
      </c>
      <c r="J375" s="259">
        <f>+E375+F375+G375+H375-I375</f>
        <v>276458589</v>
      </c>
      <c r="K375" s="103"/>
    </row>
    <row r="376" spans="1:11" x14ac:dyDescent="0.2">
      <c r="A376" s="82"/>
      <c r="B376" s="94"/>
      <c r="C376" s="95"/>
      <c r="D376" s="145"/>
      <c r="E376" s="203"/>
      <c r="F376" s="34"/>
      <c r="G376" s="34"/>
      <c r="H376" s="34"/>
      <c r="I376" s="34"/>
      <c r="J376" s="203"/>
      <c r="K376" s="105"/>
    </row>
    <row r="377" spans="1:11" x14ac:dyDescent="0.2">
      <c r="A377" s="99">
        <v>5000</v>
      </c>
      <c r="B377" s="100"/>
      <c r="C377" s="101" t="s">
        <v>734</v>
      </c>
      <c r="D377" s="149"/>
      <c r="E377" s="259">
        <v>0</v>
      </c>
      <c r="F377" s="259">
        <v>0</v>
      </c>
      <c r="G377" s="259">
        <v>0</v>
      </c>
      <c r="H377" s="259">
        <v>0</v>
      </c>
      <c r="I377" s="202"/>
      <c r="J377" s="202"/>
      <c r="K377" s="103"/>
    </row>
    <row r="378" spans="1:11" x14ac:dyDescent="0.2">
      <c r="A378" s="99">
        <v>5001</v>
      </c>
      <c r="B378" s="100"/>
      <c r="C378" s="101" t="s">
        <v>736</v>
      </c>
      <c r="D378" s="149"/>
      <c r="E378" s="259">
        <v>0</v>
      </c>
      <c r="F378" s="259">
        <v>0</v>
      </c>
      <c r="G378" s="259">
        <v>0</v>
      </c>
      <c r="H378" s="259">
        <v>4100000</v>
      </c>
      <c r="I378" s="202"/>
      <c r="J378" s="202"/>
      <c r="K378" s="103"/>
    </row>
    <row r="379" spans="1:11" x14ac:dyDescent="0.2">
      <c r="A379" s="99">
        <v>5002</v>
      </c>
      <c r="B379" s="100"/>
      <c r="C379" s="101" t="s">
        <v>738</v>
      </c>
      <c r="D379" s="149"/>
      <c r="E379" s="259">
        <v>0</v>
      </c>
      <c r="F379" s="259">
        <v>0</v>
      </c>
      <c r="G379" s="259">
        <v>0</v>
      </c>
      <c r="H379" s="259">
        <v>0</v>
      </c>
      <c r="I379" s="202"/>
      <c r="J379" s="202"/>
      <c r="K379" s="103"/>
    </row>
    <row r="380" spans="1:11" x14ac:dyDescent="0.2">
      <c r="A380" s="99">
        <v>5003</v>
      </c>
      <c r="B380" s="100"/>
      <c r="C380" s="101" t="s">
        <v>740</v>
      </c>
      <c r="D380" s="149"/>
      <c r="E380" s="259">
        <v>0</v>
      </c>
      <c r="F380" s="259">
        <v>0</v>
      </c>
      <c r="G380" s="259">
        <v>0</v>
      </c>
      <c r="H380" s="259">
        <v>0</v>
      </c>
      <c r="I380" s="202"/>
      <c r="J380" s="202"/>
      <c r="K380" s="103"/>
    </row>
    <row r="381" spans="1:11" x14ac:dyDescent="0.2">
      <c r="A381" s="106">
        <v>500301</v>
      </c>
      <c r="B381" s="107"/>
      <c r="C381" s="108" t="s">
        <v>742</v>
      </c>
      <c r="D381" s="149"/>
      <c r="E381" s="259"/>
      <c r="F381" s="259"/>
      <c r="G381" s="259"/>
      <c r="H381" s="259">
        <v>0</v>
      </c>
      <c r="I381" s="202"/>
      <c r="J381" s="202"/>
      <c r="K381" s="103"/>
    </row>
    <row r="382" spans="1:11" x14ac:dyDescent="0.2">
      <c r="A382" s="99">
        <v>5004</v>
      </c>
      <c r="B382" s="100"/>
      <c r="C382" s="101" t="s">
        <v>744</v>
      </c>
      <c r="D382" s="149"/>
      <c r="E382" s="259">
        <v>270658589</v>
      </c>
      <c r="F382" s="259">
        <v>0</v>
      </c>
      <c r="G382" s="259">
        <v>0</v>
      </c>
      <c r="H382" s="259">
        <v>0</v>
      </c>
      <c r="I382" s="202"/>
      <c r="J382" s="202"/>
      <c r="K382" s="103"/>
    </row>
    <row r="383" spans="1:11" x14ac:dyDescent="0.2">
      <c r="A383" s="82"/>
      <c r="B383" s="94"/>
      <c r="C383" s="95"/>
      <c r="D383" s="145"/>
      <c r="E383" s="203"/>
      <c r="F383" s="34"/>
      <c r="G383" s="34"/>
      <c r="H383" s="34"/>
      <c r="I383" s="34"/>
      <c r="J383" s="203"/>
      <c r="K383" s="105"/>
    </row>
    <row r="384" spans="1:11" x14ac:dyDescent="0.2">
      <c r="A384" s="99">
        <v>501</v>
      </c>
      <c r="B384" s="100"/>
      <c r="C384" s="101" t="s">
        <v>746</v>
      </c>
      <c r="D384" s="149"/>
      <c r="E384" s="259">
        <f>+E386+E387+E388+E389+E390</f>
        <v>0</v>
      </c>
      <c r="F384" s="259">
        <f>+F386+F387+F388+F389+F390</f>
        <v>0</v>
      </c>
      <c r="G384" s="259">
        <f>+G386+G387+G388+G389+G390</f>
        <v>0</v>
      </c>
      <c r="H384" s="259">
        <f>+H386+H387+H388+H389+H390</f>
        <v>0</v>
      </c>
      <c r="I384" s="259">
        <f>+I386+I387+I388+I389+I390</f>
        <v>0</v>
      </c>
      <c r="J384" s="259">
        <f>+E384+F384+G384+H384-I384</f>
        <v>0</v>
      </c>
      <c r="K384" s="103"/>
    </row>
    <row r="385" spans="1:11" x14ac:dyDescent="0.2">
      <c r="A385" s="82"/>
      <c r="B385" s="94"/>
      <c r="C385" s="95"/>
      <c r="D385" s="145"/>
      <c r="E385" s="86"/>
      <c r="F385" s="34"/>
      <c r="G385" s="34"/>
      <c r="H385" s="34"/>
      <c r="I385" s="34"/>
      <c r="J385" s="34"/>
      <c r="K385" s="105"/>
    </row>
    <row r="386" spans="1:11" x14ac:dyDescent="0.2">
      <c r="A386" s="99">
        <v>5010</v>
      </c>
      <c r="B386" s="100"/>
      <c r="C386" s="101" t="s">
        <v>748</v>
      </c>
      <c r="D386" s="149"/>
      <c r="E386" s="202"/>
      <c r="F386" s="202"/>
      <c r="G386" s="202"/>
      <c r="H386" s="202"/>
      <c r="I386" s="202"/>
      <c r="J386" s="202"/>
      <c r="K386" s="103"/>
    </row>
    <row r="387" spans="1:11" x14ac:dyDescent="0.2">
      <c r="A387" s="99">
        <v>5011</v>
      </c>
      <c r="B387" s="100"/>
      <c r="C387" s="101" t="s">
        <v>750</v>
      </c>
      <c r="D387" s="149"/>
      <c r="E387" s="202"/>
      <c r="F387" s="202"/>
      <c r="G387" s="202"/>
      <c r="H387" s="202"/>
      <c r="I387" s="202"/>
      <c r="J387" s="202"/>
      <c r="K387" s="103"/>
    </row>
    <row r="388" spans="1:11" x14ac:dyDescent="0.2">
      <c r="A388" s="99">
        <v>5012</v>
      </c>
      <c r="B388" s="100"/>
      <c r="C388" s="101" t="s">
        <v>752</v>
      </c>
      <c r="D388" s="149"/>
      <c r="E388" s="202"/>
      <c r="F388" s="202"/>
      <c r="G388" s="202"/>
      <c r="H388" s="202"/>
      <c r="I388" s="202"/>
      <c r="J388" s="202"/>
      <c r="K388" s="103"/>
    </row>
    <row r="389" spans="1:11" x14ac:dyDescent="0.2">
      <c r="A389" s="99">
        <v>5013</v>
      </c>
      <c r="B389" s="100"/>
      <c r="C389" s="101" t="s">
        <v>754</v>
      </c>
      <c r="D389" s="149"/>
      <c r="E389" s="202"/>
      <c r="F389" s="202"/>
      <c r="G389" s="202"/>
      <c r="H389" s="202"/>
      <c r="I389" s="202"/>
      <c r="J389" s="202"/>
      <c r="K389" s="103"/>
    </row>
    <row r="390" spans="1:11" x14ac:dyDescent="0.2">
      <c r="A390" s="99">
        <v>5014</v>
      </c>
      <c r="B390" s="100"/>
      <c r="C390" s="101" t="s">
        <v>744</v>
      </c>
      <c r="D390" s="149"/>
      <c r="E390" s="202"/>
      <c r="F390" s="202"/>
      <c r="G390" s="202"/>
      <c r="H390" s="202"/>
      <c r="I390" s="202"/>
      <c r="J390" s="202"/>
      <c r="K390" s="103"/>
    </row>
    <row r="391" spans="1:11" ht="15.75" thickBot="1" x14ac:dyDescent="0.25">
      <c r="A391" s="207"/>
      <c r="B391" s="208"/>
      <c r="C391" s="209"/>
      <c r="D391" s="160"/>
      <c r="E391" s="161"/>
      <c r="F391" s="161"/>
      <c r="G391" s="161"/>
      <c r="H391" s="161"/>
      <c r="I391" s="161"/>
      <c r="J391" s="161"/>
      <c r="K391" s="166"/>
    </row>
    <row r="392" spans="1:11" ht="15.75" thickTop="1" x14ac:dyDescent="0.2">
      <c r="A392" s="135"/>
      <c r="B392" s="136"/>
      <c r="C392" s="137"/>
      <c r="D392" s="163"/>
      <c r="E392" s="164"/>
      <c r="F392" s="164"/>
      <c r="G392" s="164"/>
      <c r="H392" s="164"/>
      <c r="I392" s="66"/>
      <c r="J392" s="164"/>
      <c r="K392" s="198"/>
    </row>
    <row r="393" spans="1:11" ht="15.75" x14ac:dyDescent="0.25">
      <c r="A393" s="69"/>
      <c r="B393" s="70" t="s">
        <v>757</v>
      </c>
      <c r="C393" s="77" t="s">
        <v>758</v>
      </c>
      <c r="D393" s="142"/>
      <c r="E393" s="73">
        <f t="shared" ref="E393:J393" si="35">E395+E405</f>
        <v>213427296</v>
      </c>
      <c r="F393" s="73">
        <f t="shared" si="35"/>
        <v>0</v>
      </c>
      <c r="G393" s="73">
        <f t="shared" si="35"/>
        <v>3975000</v>
      </c>
      <c r="H393" s="73">
        <f t="shared" si="35"/>
        <v>0</v>
      </c>
      <c r="I393" s="73">
        <f t="shared" si="35"/>
        <v>0</v>
      </c>
      <c r="J393" s="199">
        <f t="shared" si="35"/>
        <v>217402296</v>
      </c>
      <c r="K393" s="197" t="e">
        <f>J393/J$140*100</f>
        <v>#REF!</v>
      </c>
    </row>
    <row r="394" spans="1:11" x14ac:dyDescent="0.2">
      <c r="A394" s="82"/>
      <c r="B394" s="94"/>
      <c r="C394" s="95"/>
      <c r="D394" s="145"/>
      <c r="E394" s="34"/>
      <c r="F394" s="34"/>
      <c r="G394" s="34"/>
      <c r="H394" s="34"/>
      <c r="I394" s="34"/>
      <c r="J394" s="34"/>
      <c r="K394" s="105"/>
    </row>
    <row r="395" spans="1:11" x14ac:dyDescent="0.2">
      <c r="A395" s="99">
        <v>550</v>
      </c>
      <c r="B395" s="100"/>
      <c r="C395" s="101" t="s">
        <v>760</v>
      </c>
      <c r="D395" s="149"/>
      <c r="E395" s="31">
        <f>+E397+E398+E399+E400+E402+E403</f>
        <v>151232379</v>
      </c>
      <c r="F395" s="31">
        <f>+F397+F398+F399+F400+F402+F403</f>
        <v>0</v>
      </c>
      <c r="G395" s="31">
        <f>+G397+G398+G399+G400+G402+G403</f>
        <v>3975000</v>
      </c>
      <c r="H395" s="31">
        <f>+H397+H398+H399+H400+H402+H403</f>
        <v>0</v>
      </c>
      <c r="I395" s="31">
        <f>+I397+I398+I399+I400+I402+I403</f>
        <v>0</v>
      </c>
      <c r="J395" s="31">
        <f>E395+F395+G395+H395-I395</f>
        <v>155207379</v>
      </c>
      <c r="K395" s="103" t="e">
        <f>J395/J$140*100</f>
        <v>#REF!</v>
      </c>
    </row>
    <row r="396" spans="1:11" x14ac:dyDescent="0.2">
      <c r="A396" s="82"/>
      <c r="B396" s="94"/>
      <c r="C396" s="95"/>
      <c r="D396" s="145"/>
      <c r="E396" s="34"/>
      <c r="F396" s="34"/>
      <c r="G396" s="34"/>
      <c r="H396" s="34"/>
      <c r="I396" s="34"/>
      <c r="J396" s="34"/>
      <c r="K396" s="150"/>
    </row>
    <row r="397" spans="1:11" x14ac:dyDescent="0.2">
      <c r="A397" s="99">
        <v>5500</v>
      </c>
      <c r="B397" s="100"/>
      <c r="C397" s="101" t="s">
        <v>762</v>
      </c>
      <c r="D397" s="149"/>
      <c r="E397" s="31">
        <v>0</v>
      </c>
      <c r="F397" s="31">
        <v>0</v>
      </c>
      <c r="G397" s="31">
        <v>0</v>
      </c>
      <c r="H397" s="31">
        <v>0</v>
      </c>
      <c r="I397" s="31">
        <v>0</v>
      </c>
      <c r="J397" s="31">
        <f>E397+F397+G397+H397</f>
        <v>0</v>
      </c>
      <c r="K397" s="103" t="e">
        <f>J397/J$140*100</f>
        <v>#REF!</v>
      </c>
    </row>
    <row r="398" spans="1:11" x14ac:dyDescent="0.2">
      <c r="A398" s="99">
        <v>5501</v>
      </c>
      <c r="B398" s="100"/>
      <c r="C398" s="101" t="s">
        <v>764</v>
      </c>
      <c r="D398" s="149"/>
      <c r="E398" s="31">
        <v>24762528</v>
      </c>
      <c r="F398" s="31">
        <v>0</v>
      </c>
      <c r="G398" s="31">
        <v>3975000</v>
      </c>
      <c r="H398" s="31">
        <v>0</v>
      </c>
      <c r="I398" s="31">
        <v>0</v>
      </c>
      <c r="J398" s="31">
        <f>E398+F398+G398+H398</f>
        <v>28737528</v>
      </c>
      <c r="K398" s="103" t="e">
        <f>J398/J$140*100</f>
        <v>#REF!</v>
      </c>
    </row>
    <row r="399" spans="1:11" x14ac:dyDescent="0.2">
      <c r="A399" s="99">
        <v>5502</v>
      </c>
      <c r="B399" s="100"/>
      <c r="C399" s="101" t="s">
        <v>766</v>
      </c>
      <c r="D399" s="149"/>
      <c r="E399" s="31">
        <v>0</v>
      </c>
      <c r="F399" s="31">
        <v>0</v>
      </c>
      <c r="G399" s="31">
        <v>0</v>
      </c>
      <c r="H399" s="31">
        <v>0</v>
      </c>
      <c r="I399" s="31">
        <v>0</v>
      </c>
      <c r="J399" s="31">
        <f>E399+F399+G399+H399</f>
        <v>0</v>
      </c>
      <c r="K399" s="103" t="e">
        <f>J399/J$140*100</f>
        <v>#REF!</v>
      </c>
    </row>
    <row r="400" spans="1:11" x14ac:dyDescent="0.2">
      <c r="A400" s="99">
        <v>5503</v>
      </c>
      <c r="B400" s="100"/>
      <c r="C400" s="101" t="s">
        <v>772</v>
      </c>
      <c r="D400" s="149"/>
      <c r="E400" s="31">
        <v>0</v>
      </c>
      <c r="F400" s="31">
        <v>0</v>
      </c>
      <c r="G400" s="31">
        <v>0</v>
      </c>
      <c r="H400" s="31">
        <v>0</v>
      </c>
      <c r="I400" s="31">
        <v>0</v>
      </c>
      <c r="J400" s="31">
        <f>E400+F400+G400+H400</f>
        <v>0</v>
      </c>
      <c r="K400" s="103" t="e">
        <f>J400/J$140*100</f>
        <v>#REF!</v>
      </c>
    </row>
    <row r="401" spans="1:11" x14ac:dyDescent="0.2">
      <c r="A401" s="210"/>
      <c r="B401" s="107"/>
      <c r="C401" s="154" t="s">
        <v>831</v>
      </c>
      <c r="D401" s="153"/>
      <c r="E401" s="109">
        <v>0</v>
      </c>
      <c r="F401" s="109">
        <v>0</v>
      </c>
      <c r="G401" s="109">
        <v>0</v>
      </c>
      <c r="H401" s="109">
        <v>0</v>
      </c>
      <c r="I401" s="109"/>
      <c r="J401" s="109">
        <v>0</v>
      </c>
      <c r="K401" s="103"/>
    </row>
    <row r="402" spans="1:11" x14ac:dyDescent="0.2">
      <c r="A402" s="106">
        <v>5505</v>
      </c>
      <c r="B402" s="107"/>
      <c r="C402" s="108" t="s">
        <v>802</v>
      </c>
      <c r="D402" s="153"/>
      <c r="E402" s="109">
        <v>0</v>
      </c>
      <c r="F402" s="109">
        <v>0</v>
      </c>
      <c r="G402" s="109">
        <v>0</v>
      </c>
      <c r="H402" s="109">
        <v>0</v>
      </c>
      <c r="I402" s="109">
        <f>+E402</f>
        <v>0</v>
      </c>
      <c r="J402" s="109">
        <f>E402+F402+G402+H402-I402</f>
        <v>0</v>
      </c>
      <c r="K402" s="103"/>
    </row>
    <row r="403" spans="1:11" x14ac:dyDescent="0.2">
      <c r="A403" s="99">
        <v>5504</v>
      </c>
      <c r="B403" s="100"/>
      <c r="C403" s="101" t="s">
        <v>775</v>
      </c>
      <c r="D403" s="149"/>
      <c r="E403" s="31">
        <v>126469851</v>
      </c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126469851</v>
      </c>
      <c r="K403" s="103" t="e">
        <f>J403/J$140*100</f>
        <v>#REF!</v>
      </c>
    </row>
    <row r="404" spans="1:11" x14ac:dyDescent="0.2">
      <c r="A404" s="82"/>
      <c r="B404" s="94"/>
      <c r="C404" s="95"/>
      <c r="D404" s="145"/>
      <c r="E404" s="34"/>
      <c r="F404" s="34"/>
      <c r="G404" s="34"/>
      <c r="H404" s="34"/>
      <c r="I404" s="34"/>
      <c r="J404" s="34"/>
      <c r="K404" s="105"/>
    </row>
    <row r="405" spans="1:11" x14ac:dyDescent="0.2">
      <c r="A405" s="99">
        <v>551</v>
      </c>
      <c r="B405" s="100"/>
      <c r="C405" s="101" t="s">
        <v>777</v>
      </c>
      <c r="D405" s="149"/>
      <c r="E405" s="31">
        <f>SUM(E407:E411)</f>
        <v>62194917</v>
      </c>
      <c r="F405" s="31">
        <f>SUM(F407:F411)</f>
        <v>0</v>
      </c>
      <c r="G405" s="31">
        <f>SUM(G407:G411)</f>
        <v>0</v>
      </c>
      <c r="H405" s="31">
        <f>SUM(H407:H411)</f>
        <v>0</v>
      </c>
      <c r="I405" s="31">
        <f>SUM(I407:I410)</f>
        <v>0</v>
      </c>
      <c r="J405" s="31">
        <f>E405+F405+G405+H405</f>
        <v>62194917</v>
      </c>
      <c r="K405" s="103" t="e">
        <f>J405/J$140*100</f>
        <v>#REF!</v>
      </c>
    </row>
    <row r="406" spans="1:11" x14ac:dyDescent="0.2">
      <c r="A406" s="82"/>
      <c r="B406" s="94"/>
      <c r="C406" s="95"/>
      <c r="D406" s="145"/>
      <c r="E406" s="34"/>
      <c r="F406" s="34"/>
      <c r="G406" s="34"/>
      <c r="H406" s="34"/>
      <c r="I406" s="34"/>
      <c r="J406" s="34"/>
      <c r="K406" s="150"/>
    </row>
    <row r="407" spans="1:11" x14ac:dyDescent="0.2">
      <c r="A407" s="99">
        <v>5510</v>
      </c>
      <c r="B407" s="100"/>
      <c r="C407" s="101" t="s">
        <v>779</v>
      </c>
      <c r="D407" s="149"/>
      <c r="E407" s="31">
        <v>8365742</v>
      </c>
      <c r="F407" s="31">
        <v>0</v>
      </c>
      <c r="G407" s="31">
        <v>0</v>
      </c>
      <c r="H407" s="31">
        <v>0</v>
      </c>
      <c r="I407" s="31">
        <v>0</v>
      </c>
      <c r="J407" s="31">
        <f>E407+F407+G407+H407</f>
        <v>8365742</v>
      </c>
      <c r="K407" s="103" t="e">
        <f>J407/J$140*100</f>
        <v>#REF!</v>
      </c>
    </row>
    <row r="408" spans="1:11" x14ac:dyDescent="0.2">
      <c r="A408" s="99">
        <v>5511</v>
      </c>
      <c r="B408" s="100"/>
      <c r="C408" s="101" t="s">
        <v>781</v>
      </c>
      <c r="D408" s="149"/>
      <c r="E408" s="31">
        <v>692487</v>
      </c>
      <c r="F408" s="31">
        <v>0</v>
      </c>
      <c r="G408" s="31">
        <v>0</v>
      </c>
      <c r="H408" s="31">
        <v>0</v>
      </c>
      <c r="I408" s="31">
        <v>0</v>
      </c>
      <c r="J408" s="31">
        <f>E408+F408+G408+H408</f>
        <v>692487</v>
      </c>
      <c r="K408" s="103" t="e">
        <f>J408/J$140*100</f>
        <v>#REF!</v>
      </c>
    </row>
    <row r="409" spans="1:11" x14ac:dyDescent="0.2">
      <c r="A409" s="99">
        <v>5512</v>
      </c>
      <c r="B409" s="100"/>
      <c r="C409" s="101" t="s">
        <v>783</v>
      </c>
      <c r="D409" s="149"/>
      <c r="E409" s="31">
        <v>1648934</v>
      </c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1648934</v>
      </c>
      <c r="K409" s="103" t="e">
        <f>J409/J$140*100</f>
        <v>#REF!</v>
      </c>
    </row>
    <row r="410" spans="1:11" x14ac:dyDescent="0.2">
      <c r="A410" s="99">
        <v>5513</v>
      </c>
      <c r="B410" s="100"/>
      <c r="C410" s="101" t="s">
        <v>785</v>
      </c>
      <c r="D410" s="149"/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J410/J$140*100</f>
        <v>#REF!</v>
      </c>
    </row>
    <row r="411" spans="1:11" x14ac:dyDescent="0.2">
      <c r="A411" s="99">
        <v>5514</v>
      </c>
      <c r="B411" s="100"/>
      <c r="C411" s="101" t="s">
        <v>836</v>
      </c>
      <c r="D411" s="149"/>
      <c r="E411" s="31">
        <v>51487754</v>
      </c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51487754</v>
      </c>
      <c r="K411" s="103" t="e">
        <f>J411/J$140*100</f>
        <v>#REF!</v>
      </c>
    </row>
    <row r="412" spans="1:11" ht="15.75" thickBot="1" x14ac:dyDescent="0.25">
      <c r="A412" s="120"/>
      <c r="B412" s="121"/>
      <c r="C412" s="122"/>
      <c r="D412" s="160"/>
      <c r="E412" s="161"/>
      <c r="F412" s="161"/>
      <c r="G412" s="161"/>
      <c r="H412" s="161"/>
      <c r="I412" s="161"/>
      <c r="J412" s="161"/>
      <c r="K412" s="162"/>
    </row>
    <row r="413" spans="1:11" ht="16.5" thickTop="1" x14ac:dyDescent="0.25">
      <c r="A413" s="211"/>
      <c r="B413" s="212" t="s">
        <v>803</v>
      </c>
      <c r="C413" s="213" t="s">
        <v>789</v>
      </c>
      <c r="D413" s="214"/>
      <c r="E413" s="215"/>
      <c r="F413" s="215"/>
      <c r="G413" s="215"/>
      <c r="H413" s="215"/>
      <c r="I413" s="215"/>
      <c r="J413" s="215"/>
      <c r="K413" s="216"/>
    </row>
    <row r="414" spans="1:11" ht="16.5" thickBot="1" x14ac:dyDescent="0.3">
      <c r="A414" s="217"/>
      <c r="B414" s="218"/>
      <c r="C414" s="219" t="s">
        <v>804</v>
      </c>
      <c r="D414" s="220"/>
      <c r="E414" s="221">
        <f t="shared" ref="E414:J414" si="36">E22+E306+E373-E143-E328-E393</f>
        <v>0.26841521263122559</v>
      </c>
      <c r="F414" s="221">
        <f t="shared" si="36"/>
        <v>5413792.8336321246</v>
      </c>
      <c r="G414" s="221">
        <f t="shared" si="36"/>
        <v>64571.534814119339</v>
      </c>
      <c r="H414" s="221">
        <f t="shared" si="36"/>
        <v>29035.299572408199</v>
      </c>
      <c r="I414" s="221">
        <f t="shared" si="36"/>
        <v>1.1920928955078125E-7</v>
      </c>
      <c r="J414" s="222">
        <f t="shared" si="36"/>
        <v>5507395.9364334941</v>
      </c>
      <c r="K414" s="223" t="e">
        <f>J414/J$140*100</f>
        <v>#REF!</v>
      </c>
    </row>
    <row r="415" spans="1:11" ht="16.5" thickTop="1" x14ac:dyDescent="0.25">
      <c r="A415" s="211"/>
      <c r="B415" s="212"/>
      <c r="C415" s="213"/>
      <c r="D415" s="214"/>
      <c r="E415" s="215"/>
      <c r="F415" s="215"/>
      <c r="G415" s="215"/>
      <c r="H415" s="215"/>
      <c r="I415" s="215"/>
      <c r="J415" s="224"/>
      <c r="K415" s="225"/>
    </row>
    <row r="416" spans="1:11" ht="16.5" thickBot="1" x14ac:dyDescent="0.3">
      <c r="A416" s="226"/>
      <c r="B416" s="227" t="s">
        <v>787</v>
      </c>
      <c r="C416" s="228" t="s">
        <v>805</v>
      </c>
      <c r="D416" s="229"/>
      <c r="E416" s="230">
        <f t="shared" ref="E416:J416" si="37">E356+E373-E393-E414</f>
        <v>58297743.731584787</v>
      </c>
      <c r="F416" s="230">
        <f t="shared" si="37"/>
        <v>-1000992.8694728091</v>
      </c>
      <c r="G416" s="230">
        <f t="shared" si="37"/>
        <v>-3974999.5348141193</v>
      </c>
      <c r="H416" s="230">
        <f t="shared" si="37"/>
        <v>4070964.7004275918</v>
      </c>
      <c r="I416" s="230">
        <f t="shared" si="37"/>
        <v>-1.1920928955078125E-7</v>
      </c>
      <c r="J416" s="231">
        <f t="shared" si="37"/>
        <v>57392720.027725816</v>
      </c>
      <c r="K416" s="232" t="e">
        <f>J416/J$140*100</f>
        <v>#REF!</v>
      </c>
    </row>
    <row r="417" spans="1:11" ht="15.75" thickTop="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</sheetData>
  <phoneticPr fontId="0" type="noConversion"/>
  <pageMargins left="0.49" right="0.36" top="0.56000000000000005" bottom="0.65" header="0.5" footer="0.5"/>
  <pageSetup paperSize="9" scale="56" fitToHeight="0" orientation="portrait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M478"/>
  <sheetViews>
    <sheetView zoomScale="60" workbookViewId="0">
      <selection activeCell="N23" sqref="N2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9.33203125" customWidth="1"/>
    <col min="13" max="13" width="13" style="431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925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E25+E100+E118+E129+E147-2</f>
        <v>1503590368</v>
      </c>
      <c r="F22" s="73">
        <f>F25+F100+F118+F129+F147+2</f>
        <v>310720406</v>
      </c>
      <c r="G22" s="73">
        <f>G25+G100+G118+G129+G147-2</f>
        <v>840567233</v>
      </c>
      <c r="H22" s="73">
        <f>H25+H100+H118+H129+H147</f>
        <v>394521738</v>
      </c>
      <c r="I22" s="73">
        <f>I25+I100+I118+I129+I147</f>
        <v>495121340</v>
      </c>
      <c r="J22" s="75">
        <f>E22+F22+G22+H22-I22</f>
        <v>2554278405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1433690955</v>
      </c>
      <c r="F25" s="32">
        <f t="shared" si="0"/>
        <v>233793338</v>
      </c>
      <c r="G25" s="32">
        <f t="shared" si="0"/>
        <v>583519343</v>
      </c>
      <c r="H25" s="32">
        <f t="shared" si="0"/>
        <v>320310676</v>
      </c>
      <c r="I25" s="32">
        <f t="shared" si="0"/>
        <v>109151302</v>
      </c>
      <c r="J25" s="32">
        <f t="shared" si="0"/>
        <v>2462163010</v>
      </c>
      <c r="K25" s="92" t="e">
        <f>J25/J$184*100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1343607385</v>
      </c>
      <c r="F28" s="32">
        <f t="shared" si="1"/>
        <v>190657631</v>
      </c>
      <c r="G28" s="32">
        <f t="shared" si="1"/>
        <v>577403529</v>
      </c>
      <c r="H28" s="32">
        <f t="shared" si="1"/>
        <v>316180184</v>
      </c>
      <c r="I28" s="32">
        <f t="shared" si="1"/>
        <v>109151302</v>
      </c>
      <c r="J28" s="32">
        <f t="shared" si="1"/>
        <v>2318697427</v>
      </c>
      <c r="K28" s="92" t="e">
        <f>J28/J$184*100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356666127</v>
      </c>
      <c r="F31" s="31">
        <f t="shared" si="2"/>
        <v>130584609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487250736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242514274</v>
      </c>
      <c r="F32" s="31">
        <v>130584609</v>
      </c>
      <c r="G32" s="31">
        <v>0</v>
      </c>
      <c r="H32" s="31">
        <v>0</v>
      </c>
      <c r="I32" s="31"/>
      <c r="J32" s="31">
        <f>E32+F32+G32+H32</f>
        <v>373098883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114151853</v>
      </c>
      <c r="F33" s="31">
        <v>0</v>
      </c>
      <c r="G33" s="31">
        <v>0</v>
      </c>
      <c r="H33" s="31">
        <v>0</v>
      </c>
      <c r="I33" s="31"/>
      <c r="J33" s="31">
        <f>E33+F33+G33+H33</f>
        <v>114151853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9469818</v>
      </c>
      <c r="F36" s="31">
        <f t="shared" si="3"/>
        <v>0</v>
      </c>
      <c r="G36" s="31">
        <f t="shared" si="3"/>
        <v>577403529</v>
      </c>
      <c r="H36" s="31">
        <f t="shared" si="3"/>
        <v>316180184</v>
      </c>
      <c r="I36" s="31">
        <f>+I38</f>
        <v>109151302</v>
      </c>
      <c r="J36" s="31">
        <f t="shared" si="3"/>
        <v>793902229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5210891</v>
      </c>
      <c r="F37" s="31">
        <v>0</v>
      </c>
      <c r="G37" s="31">
        <v>336448970</v>
      </c>
      <c r="H37" s="31">
        <v>138659963</v>
      </c>
      <c r="I37" s="31"/>
      <c r="J37" s="31">
        <f>E37+F37+G37+H37</f>
        <v>480319824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3589028</v>
      </c>
      <c r="F38" s="109">
        <v>0</v>
      </c>
      <c r="G38" s="109">
        <v>199028530</v>
      </c>
      <c r="H38" s="109">
        <v>154293369</v>
      </c>
      <c r="I38" s="427">
        <f>+I206</f>
        <v>109151302</v>
      </c>
      <c r="J38" s="109">
        <f>E38+F38+G38+H38-I38</f>
        <v>247759625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468575</v>
      </c>
      <c r="F39" s="31">
        <v>0</v>
      </c>
      <c r="G39" s="31">
        <v>28221412</v>
      </c>
      <c r="H39" s="31">
        <v>16447224</v>
      </c>
      <c r="I39" s="31"/>
      <c r="J39" s="31">
        <f>E39+F39+G39+H39</f>
        <v>45137211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201324</v>
      </c>
      <c r="F40" s="31">
        <v>0</v>
      </c>
      <c r="G40" s="31">
        <v>13704617</v>
      </c>
      <c r="H40" s="31">
        <v>6779628</v>
      </c>
      <c r="I40" s="31"/>
      <c r="J40" s="31">
        <f>E40+F40+G40+H40</f>
        <v>20685569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116404368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116404368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111266516</v>
      </c>
      <c r="F43" s="31">
        <v>0</v>
      </c>
      <c r="G43" s="31">
        <v>0</v>
      </c>
      <c r="H43" s="31">
        <v>0</v>
      </c>
      <c r="I43" s="31"/>
      <c r="J43" s="31">
        <f>E43+F43+G43+H43</f>
        <v>111266516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5137852</v>
      </c>
      <c r="F44" s="31">
        <v>0</v>
      </c>
      <c r="G44" s="31">
        <v>0</v>
      </c>
      <c r="H44" s="31">
        <v>0</v>
      </c>
      <c r="I44" s="31"/>
      <c r="J44" s="31">
        <f>E44+F44+G44+H44</f>
        <v>5137852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389278</v>
      </c>
      <c r="F46" s="31">
        <f t="shared" si="5"/>
        <v>36933987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37323265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>
        <v>0</v>
      </c>
      <c r="F47" s="31">
        <v>27462493</v>
      </c>
      <c r="G47" s="31">
        <v>0</v>
      </c>
      <c r="H47" s="31">
        <v>0</v>
      </c>
      <c r="I47" s="31"/>
      <c r="J47" s="31">
        <f>E47+F47+G47+H47</f>
        <v>27462493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>
        <v>0</v>
      </c>
      <c r="F48" s="31">
        <v>3780</v>
      </c>
      <c r="G48" s="31">
        <v>0</v>
      </c>
      <c r="H48" s="31">
        <v>0</v>
      </c>
      <c r="I48" s="31"/>
      <c r="J48" s="31">
        <f>E48+F48+G48+H48</f>
        <v>3780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>
        <v>0</v>
      </c>
      <c r="F49" s="31">
        <v>807036</v>
      </c>
      <c r="G49" s="31">
        <v>0</v>
      </c>
      <c r="H49" s="31">
        <v>0</v>
      </c>
      <c r="I49" s="31"/>
      <c r="J49" s="31">
        <f>E49+F49+G49+H49</f>
        <v>807036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>
        <v>389278</v>
      </c>
      <c r="F50" s="31">
        <v>8660678</v>
      </c>
      <c r="G50" s="31">
        <v>0</v>
      </c>
      <c r="H50" s="31">
        <v>0</v>
      </c>
      <c r="I50" s="31"/>
      <c r="J50" s="31">
        <f>E50+F50+G50+H50</f>
        <v>9049956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838091508</v>
      </c>
      <c r="F52" s="31">
        <f>SUM(F53:F61)</f>
        <v>23136453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861227961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>
        <v>553957010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553957010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>
        <v>13670154</v>
      </c>
      <c r="F54" s="31">
        <v>0</v>
      </c>
      <c r="G54" s="31">
        <v>0</v>
      </c>
      <c r="H54" s="31">
        <v>0</v>
      </c>
      <c r="I54" s="31"/>
      <c r="J54" s="31">
        <f t="shared" si="7"/>
        <v>13670154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>
        <v>210385775</v>
      </c>
      <c r="F55" s="31">
        <v>0</v>
      </c>
      <c r="G55" s="31">
        <v>0</v>
      </c>
      <c r="H55" s="31">
        <v>0</v>
      </c>
      <c r="I55" s="31"/>
      <c r="J55" s="31">
        <f t="shared" si="7"/>
        <v>210385775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460</v>
      </c>
      <c r="E57" s="31">
        <v>21432438</v>
      </c>
      <c r="F57" s="31">
        <v>1667910</v>
      </c>
      <c r="G57" s="31">
        <v>0</v>
      </c>
      <c r="H57" s="31">
        <v>0</v>
      </c>
      <c r="I57" s="31"/>
      <c r="J57" s="31">
        <f t="shared" si="7"/>
        <v>23100348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>
        <v>22979117</v>
      </c>
      <c r="F59" s="31">
        <v>5416</v>
      </c>
      <c r="G59" s="31">
        <v>0</v>
      </c>
      <c r="H59" s="31">
        <v>0</v>
      </c>
      <c r="I59" s="31"/>
      <c r="J59" s="31">
        <f t="shared" si="7"/>
        <v>22984533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>
        <v>7914119</v>
      </c>
      <c r="F60" s="31">
        <v>21463127</v>
      </c>
      <c r="G60" s="31">
        <v>0</v>
      </c>
      <c r="H60" s="31">
        <v>0</v>
      </c>
      <c r="I60" s="31"/>
      <c r="J60" s="31">
        <f t="shared" si="7"/>
        <v>29377246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>
        <v>7752895</v>
      </c>
      <c r="F61" s="31">
        <v>0</v>
      </c>
      <c r="G61" s="31">
        <v>0</v>
      </c>
      <c r="H61" s="31">
        <v>0</v>
      </c>
      <c r="I61" s="31"/>
      <c r="J61" s="31">
        <f t="shared" si="7"/>
        <v>7752895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22220210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22220210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>
        <v>21047447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21047447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>
        <v>1172763</v>
      </c>
      <c r="F65" s="31">
        <v>0</v>
      </c>
      <c r="G65" s="31">
        <v>0</v>
      </c>
      <c r="H65" s="31">
        <v>0</v>
      </c>
      <c r="I65" s="31"/>
      <c r="J65" s="31">
        <f t="shared" si="10"/>
        <v>1172763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366076</v>
      </c>
      <c r="F72" s="31">
        <f>F73</f>
        <v>2582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368658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366076</v>
      </c>
      <c r="F73" s="31">
        <v>2582</v>
      </c>
      <c r="G73" s="31">
        <v>0</v>
      </c>
      <c r="H73" s="31">
        <v>0</v>
      </c>
      <c r="I73" s="31"/>
      <c r="J73" s="31">
        <f>E73+F73+G73+H73</f>
        <v>368658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90083570</v>
      </c>
      <c r="F75" s="32">
        <f t="shared" si="11"/>
        <v>43135707</v>
      </c>
      <c r="G75" s="32">
        <f t="shared" si="11"/>
        <v>6115814</v>
      </c>
      <c r="H75" s="32">
        <f t="shared" si="11"/>
        <v>4130492</v>
      </c>
      <c r="I75" s="32">
        <f t="shared" si="11"/>
        <v>0</v>
      </c>
      <c r="J75" s="32">
        <f t="shared" si="11"/>
        <v>143465583</v>
      </c>
      <c r="K75" s="92" t="e">
        <f>J75/J$184*100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30607263</v>
      </c>
      <c r="F78" s="31">
        <f>SUM(F79:F82)</f>
        <v>21574152</v>
      </c>
      <c r="G78" s="31">
        <f>SUM(G79:G82)</f>
        <v>224924</v>
      </c>
      <c r="H78" s="31">
        <f>SUM(H79:H82)</f>
        <v>79334</v>
      </c>
      <c r="I78" s="31">
        <f>SUM(I79:I82)</f>
        <v>0</v>
      </c>
      <c r="J78" s="31">
        <f>E78+F78+G78+H78</f>
        <v>52485673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>
        <v>7682000</v>
      </c>
      <c r="F79" s="31">
        <v>455274</v>
      </c>
      <c r="G79" s="31">
        <v>0</v>
      </c>
      <c r="H79" s="31">
        <v>0</v>
      </c>
      <c r="I79" s="31"/>
      <c r="J79" s="31">
        <f>E79+F79+G79+H79</f>
        <v>8137274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>
        <v>15000</v>
      </c>
      <c r="F80" s="31">
        <v>486467</v>
      </c>
      <c r="G80" s="31">
        <v>0</v>
      </c>
      <c r="H80" s="31">
        <v>0</v>
      </c>
      <c r="I80" s="31"/>
      <c r="J80" s="31">
        <f>E80+F80+G80+H80</f>
        <v>501467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>
        <v>8149633</v>
      </c>
      <c r="F81" s="31">
        <v>2080238</v>
      </c>
      <c r="G81" s="31">
        <v>192370</v>
      </c>
      <c r="H81" s="31">
        <v>59334</v>
      </c>
      <c r="I81" s="31"/>
      <c r="J81" s="31">
        <f>E81+F81+G81+H81</f>
        <v>10481575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>
        <v>14760630</v>
      </c>
      <c r="F82" s="31">
        <v>18552173</v>
      </c>
      <c r="G82" s="31">
        <v>32554</v>
      </c>
      <c r="H82" s="31">
        <v>20000</v>
      </c>
      <c r="I82" s="31"/>
      <c r="J82" s="31">
        <f>E82+F82+G82+H82</f>
        <v>33365357</v>
      </c>
      <c r="K82" s="103" t="e">
        <f>J82/J$184*100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25182502</v>
      </c>
      <c r="F85" s="31">
        <f>F86+F87</f>
        <v>1139491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26321993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>
        <v>8241313</v>
      </c>
      <c r="F86" s="31">
        <v>0</v>
      </c>
      <c r="G86" s="31">
        <v>0</v>
      </c>
      <c r="H86" s="31">
        <v>0</v>
      </c>
      <c r="I86" s="31"/>
      <c r="J86" s="31">
        <f>E86+F86+G86+H86</f>
        <v>8241313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>
        <v>16941189</v>
      </c>
      <c r="F87" s="259">
        <v>1139491</v>
      </c>
      <c r="G87" s="31">
        <v>0</v>
      </c>
      <c r="H87" s="31">
        <v>0</v>
      </c>
      <c r="I87" s="31"/>
      <c r="J87" s="31">
        <f>E87+F87+G87+H87</f>
        <v>18080680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8210880</v>
      </c>
      <c r="F89" s="31">
        <f>F90</f>
        <v>499604</v>
      </c>
      <c r="G89" s="31">
        <f>G90</f>
        <v>0</v>
      </c>
      <c r="H89" s="31">
        <f>H90</f>
        <v>113937</v>
      </c>
      <c r="I89" s="31">
        <f>I90</f>
        <v>0</v>
      </c>
      <c r="J89" s="31">
        <f>E89+F89+G89+H89</f>
        <v>8824421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>
        <v>8210880</v>
      </c>
      <c r="F90" s="31">
        <v>499604</v>
      </c>
      <c r="G90" s="31">
        <v>0</v>
      </c>
      <c r="H90" s="31">
        <v>113937</v>
      </c>
      <c r="I90" s="31"/>
      <c r="J90" s="31">
        <f>E90+F90+G90+H90</f>
        <v>8824421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3282302</v>
      </c>
      <c r="F92" s="31">
        <f t="shared" si="12"/>
        <v>1802143</v>
      </c>
      <c r="G92" s="31">
        <f t="shared" si="12"/>
        <v>33488</v>
      </c>
      <c r="H92" s="31">
        <f t="shared" si="12"/>
        <v>800000</v>
      </c>
      <c r="I92" s="31">
        <f t="shared" si="12"/>
        <v>0</v>
      </c>
      <c r="J92" s="31">
        <f t="shared" si="12"/>
        <v>5917933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>
        <v>3282302</v>
      </c>
      <c r="F93" s="31">
        <v>1802143</v>
      </c>
      <c r="G93" s="31">
        <v>33488</v>
      </c>
      <c r="H93" s="31">
        <v>800000</v>
      </c>
      <c r="I93" s="31"/>
      <c r="J93" s="31">
        <f>E93+F93+G93+H93-I93</f>
        <v>5917933</v>
      </c>
      <c r="K93" s="103" t="e">
        <f>J93/J$184*100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22800623</v>
      </c>
      <c r="F96" s="31">
        <f t="shared" si="13"/>
        <v>18120317</v>
      </c>
      <c r="G96" s="31">
        <f t="shared" si="13"/>
        <v>5857402</v>
      </c>
      <c r="H96" s="31">
        <f t="shared" si="13"/>
        <v>3137221</v>
      </c>
      <c r="I96" s="31">
        <f t="shared" si="13"/>
        <v>0</v>
      </c>
      <c r="J96" s="31">
        <f t="shared" si="13"/>
        <v>49915563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>
        <v>0</v>
      </c>
      <c r="F97" s="31">
        <v>0</v>
      </c>
      <c r="G97" s="31">
        <v>4597706</v>
      </c>
      <c r="H97" s="31">
        <v>0</v>
      </c>
      <c r="I97" s="31"/>
      <c r="J97" s="31">
        <f>E97+F97+G97+H97</f>
        <v>4597706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>
        <v>22800623</v>
      </c>
      <c r="F98" s="31">
        <v>18120317</v>
      </c>
      <c r="G98" s="31">
        <v>1259696</v>
      </c>
      <c r="H98" s="31">
        <v>3137221</v>
      </c>
      <c r="I98" s="31"/>
      <c r="J98" s="31">
        <f>E98+F98+G98+H98-I98</f>
        <v>45317857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2110451</v>
      </c>
      <c r="F100" s="32">
        <f>F103+F109+F113</f>
        <v>13613297</v>
      </c>
      <c r="G100" s="32">
        <f>G103+G109+G113</f>
        <v>200000</v>
      </c>
      <c r="H100" s="32">
        <f>H103+H109+H113</f>
        <v>25767</v>
      </c>
      <c r="I100" s="32">
        <f>I103+I109+I113</f>
        <v>0</v>
      </c>
      <c r="J100" s="32">
        <f>E100+F100+G100+H100</f>
        <v>15949515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822166</v>
      </c>
      <c r="F103" s="31">
        <f>SUM(F104:F107)</f>
        <v>4710902</v>
      </c>
      <c r="G103" s="31">
        <v>200000</v>
      </c>
      <c r="H103" s="31">
        <v>25767</v>
      </c>
      <c r="I103" s="31">
        <f>SUM(I104:I107)</f>
        <v>0</v>
      </c>
      <c r="J103" s="31">
        <f>E103+F103+G103+H103</f>
        <v>5758835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>
        <v>737200</v>
      </c>
      <c r="F104" s="31">
        <v>4244354</v>
      </c>
      <c r="G104" s="31"/>
      <c r="H104" s="31"/>
      <c r="I104" s="31"/>
      <c r="J104" s="31">
        <f>E104+F104+G104+H104</f>
        <v>4981554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>
        <v>76575</v>
      </c>
      <c r="F105" s="31">
        <v>11478</v>
      </c>
      <c r="G105" s="31"/>
      <c r="H105" s="31"/>
      <c r="I105" s="31"/>
      <c r="J105" s="31">
        <f>E105+F105+G105+H105</f>
        <v>88053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>
        <v>6667</v>
      </c>
      <c r="F106" s="31">
        <v>33076</v>
      </c>
      <c r="G106" s="31"/>
      <c r="H106" s="31"/>
      <c r="I106" s="31"/>
      <c r="J106" s="31">
        <f>E106+F106+G106+H106</f>
        <v>39743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1">
        <v>1724</v>
      </c>
      <c r="F107" s="31">
        <v>421994</v>
      </c>
      <c r="G107" s="31"/>
      <c r="H107" s="31"/>
      <c r="I107" s="31"/>
      <c r="J107" s="31">
        <f>E107+F107+G107+H107</f>
        <v>423718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1288285</v>
      </c>
      <c r="F113" s="31">
        <v>8902395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10190680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>
        <v>0</v>
      </c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>
        <v>1288285</v>
      </c>
      <c r="F115" s="31"/>
      <c r="G115" s="31">
        <v>0</v>
      </c>
      <c r="H115" s="31">
        <v>0</v>
      </c>
      <c r="I115" s="31"/>
      <c r="J115" s="31">
        <f>E115+F115+G115+H115</f>
        <v>1288285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>
        <v>0</v>
      </c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10430</v>
      </c>
      <c r="F118" s="32">
        <f>F121+F125</f>
        <v>970322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980752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v>10430</v>
      </c>
      <c r="F121" s="31">
        <v>585592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596022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/>
      <c r="F122" s="31"/>
      <c r="G122" s="31">
        <v>0</v>
      </c>
      <c r="H122" s="31">
        <v>0</v>
      </c>
      <c r="I122" s="31"/>
      <c r="J122" s="31"/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/>
      <c r="F123" s="31"/>
      <c r="G123" s="31">
        <v>0</v>
      </c>
      <c r="H123" s="31">
        <v>0</v>
      </c>
      <c r="I123" s="31"/>
      <c r="J123" s="31"/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0</v>
      </c>
      <c r="F125" s="31">
        <f>F126+F127</f>
        <v>384730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384730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/>
      <c r="F126" s="31">
        <v>384730</v>
      </c>
      <c r="G126" s="31">
        <v>0</v>
      </c>
      <c r="H126" s="31">
        <v>0</v>
      </c>
      <c r="I126" s="31"/>
      <c r="J126" s="31">
        <f>E126+F126+G126+H126</f>
        <v>384730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103234</v>
      </c>
      <c r="F129" s="73">
        <f>F131</f>
        <v>62343447</v>
      </c>
      <c r="G129" s="73">
        <f>G131</f>
        <v>256847892</v>
      </c>
      <c r="H129" s="73">
        <f>H131</f>
        <v>74185295</v>
      </c>
      <c r="I129" s="73">
        <f>I131</f>
        <v>385970038</v>
      </c>
      <c r="J129" s="73">
        <f>+J131</f>
        <v>7509830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E133+E143+E144+E145</f>
        <v>103234</v>
      </c>
      <c r="F131" s="109">
        <f>F133+F143+F144+F145</f>
        <v>62343447</v>
      </c>
      <c r="G131" s="109">
        <f>G133+G143+G144+G145</f>
        <v>256847892</v>
      </c>
      <c r="H131" s="109">
        <f>H133+H143+H144+H145</f>
        <v>74185295</v>
      </c>
      <c r="I131" s="109">
        <f>I133+I143+I144+I145</f>
        <v>385970038</v>
      </c>
      <c r="J131" s="109">
        <f>SUM(J133:J145)</f>
        <v>7509830</v>
      </c>
      <c r="K131" s="103" t="e">
        <f>J131/J$184*100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>
        <v>96466</v>
      </c>
      <c r="F133" s="117">
        <f>+F134+F135+F136</f>
        <v>58827001</v>
      </c>
      <c r="G133" s="117">
        <f>+G134+G136+G137+G138+G140</f>
        <v>250073966</v>
      </c>
      <c r="H133" s="117">
        <f>+H137+H139+H141</f>
        <v>4114892</v>
      </c>
      <c r="I133" s="428">
        <f>E133+F133+G133+H133</f>
        <v>313112325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193</v>
      </c>
      <c r="D134" s="102"/>
      <c r="E134" s="117"/>
      <c r="F134" s="117">
        <v>39190866</v>
      </c>
      <c r="G134" s="117">
        <v>84827967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931</v>
      </c>
      <c r="D135" s="102"/>
      <c r="E135" s="117"/>
      <c r="F135" s="117">
        <v>2710094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932</v>
      </c>
      <c r="D136" s="102"/>
      <c r="E136" s="117"/>
      <c r="F136" s="117">
        <v>16926041</v>
      </c>
      <c r="G136" s="117">
        <v>159578129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933</v>
      </c>
      <c r="D137" s="102"/>
      <c r="E137" s="117"/>
      <c r="F137" s="117"/>
      <c r="G137" s="117">
        <v>408029</v>
      </c>
      <c r="H137" s="117">
        <v>161541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934</v>
      </c>
      <c r="D138" s="102"/>
      <c r="E138" s="117"/>
      <c r="F138" s="117"/>
      <c r="G138" s="117">
        <v>3349238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935</v>
      </c>
      <c r="D139" s="102"/>
      <c r="E139" s="117"/>
      <c r="F139" s="117"/>
      <c r="G139" s="117"/>
      <c r="H139" s="117">
        <v>2477644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936</v>
      </c>
      <c r="D140" s="102"/>
      <c r="E140" s="117"/>
      <c r="F140" s="117"/>
      <c r="G140" s="117">
        <v>1910603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192</v>
      </c>
      <c r="D141" s="102"/>
      <c r="E141" s="117"/>
      <c r="F141" s="117"/>
      <c r="G141" s="117"/>
      <c r="H141" s="117">
        <v>1475707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577</v>
      </c>
      <c r="D143" s="102" t="s">
        <v>578</v>
      </c>
      <c r="E143" s="109">
        <v>0</v>
      </c>
      <c r="F143" s="117">
        <v>2218844</v>
      </c>
      <c r="G143" s="109">
        <v>0</v>
      </c>
      <c r="H143" s="117">
        <v>3557276</v>
      </c>
      <c r="I143" s="428">
        <f>E143+F143+G143+H143</f>
        <v>5776120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579</v>
      </c>
      <c r="D144" s="102" t="s">
        <v>580</v>
      </c>
      <c r="E144" s="117">
        <v>6768</v>
      </c>
      <c r="F144" s="117">
        <v>162772</v>
      </c>
      <c r="G144" s="117">
        <v>398926</v>
      </c>
      <c r="H144" s="117">
        <v>66513127</v>
      </c>
      <c r="I144" s="428">
        <f>E144+F144+G144+H144</f>
        <v>67081593</v>
      </c>
      <c r="J144" s="109">
        <f>E144+F144+G144+H144-I144</f>
        <v>0</v>
      </c>
      <c r="K144" s="104"/>
    </row>
    <row r="145" spans="1:13" x14ac:dyDescent="0.2">
      <c r="A145" s="106">
        <v>7403</v>
      </c>
      <c r="B145" s="107"/>
      <c r="C145" s="108" t="s">
        <v>581</v>
      </c>
      <c r="D145" s="102" t="s">
        <v>582</v>
      </c>
      <c r="E145" s="109">
        <v>0</v>
      </c>
      <c r="F145" s="109">
        <v>1134830</v>
      </c>
      <c r="G145" s="109">
        <v>6375000</v>
      </c>
      <c r="H145" s="109">
        <v>0</v>
      </c>
      <c r="I145" s="109">
        <v>0</v>
      </c>
      <c r="J145" s="109">
        <f>E145+F145+G145+H145-I145</f>
        <v>7509830</v>
      </c>
      <c r="K145" s="103" t="e">
        <f>J145/J$184*100</f>
        <v>#REF!</v>
      </c>
    </row>
    <row r="146" spans="1:13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  <c r="M146" s="434"/>
    </row>
    <row r="147" spans="1:13" ht="15.75" x14ac:dyDescent="0.25">
      <c r="A147" s="88">
        <v>78</v>
      </c>
      <c r="B147" s="89"/>
      <c r="C147" s="90" t="s">
        <v>884</v>
      </c>
      <c r="D147" s="91"/>
      <c r="E147" s="32">
        <f>+E149+E154+E159+E165+E168+E172+E176+E179</f>
        <v>67675300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67675300</v>
      </c>
      <c r="K147" s="103" t="e">
        <f>J147/J$184*100</f>
        <v>#REF!</v>
      </c>
    </row>
    <row r="148" spans="1:13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  <c r="M148" s="434"/>
    </row>
    <row r="149" spans="1:13" s="423" customFormat="1" x14ac:dyDescent="0.2">
      <c r="A149" s="204">
        <v>780</v>
      </c>
      <c r="B149" s="205"/>
      <c r="C149" s="206" t="s">
        <v>885</v>
      </c>
      <c r="D149" s="432"/>
      <c r="E149" s="383">
        <v>15741500</v>
      </c>
      <c r="F149" s="383"/>
      <c r="G149" s="383"/>
      <c r="H149" s="383"/>
      <c r="I149" s="383"/>
      <c r="J149" s="383">
        <f>+E149+F149+G149+H149-I149</f>
        <v>15741500</v>
      </c>
      <c r="K149" s="103" t="e">
        <f>J149/J$184*100</f>
        <v>#REF!</v>
      </c>
      <c r="M149" s="434"/>
    </row>
    <row r="150" spans="1:13" s="423" customFormat="1" x14ac:dyDescent="0.2">
      <c r="A150" s="204">
        <v>7800</v>
      </c>
      <c r="B150" s="205"/>
      <c r="C150" s="206" t="s">
        <v>886</v>
      </c>
      <c r="D150" s="432"/>
      <c r="E150" s="383"/>
      <c r="F150" s="383"/>
      <c r="G150" s="383"/>
      <c r="H150" s="383"/>
      <c r="I150" s="383"/>
      <c r="J150" s="383"/>
      <c r="K150" s="433"/>
      <c r="M150" s="434"/>
    </row>
    <row r="151" spans="1:13" s="423" customFormat="1" x14ac:dyDescent="0.2">
      <c r="A151" s="204">
        <v>7801</v>
      </c>
      <c r="B151" s="205"/>
      <c r="C151" s="206" t="s">
        <v>887</v>
      </c>
      <c r="D151" s="432"/>
      <c r="E151" s="383"/>
      <c r="F151" s="383"/>
      <c r="G151" s="383"/>
      <c r="H151" s="383"/>
      <c r="I151" s="383"/>
      <c r="J151" s="383"/>
      <c r="K151" s="433"/>
      <c r="M151" s="434"/>
    </row>
    <row r="152" spans="1:13" s="423" customFormat="1" x14ac:dyDescent="0.2">
      <c r="A152" s="204">
        <v>7802</v>
      </c>
      <c r="B152" s="205"/>
      <c r="C152" s="206" t="s">
        <v>888</v>
      </c>
      <c r="D152" s="432"/>
      <c r="E152" s="383"/>
      <c r="F152" s="383"/>
      <c r="G152" s="383"/>
      <c r="H152" s="383"/>
      <c r="I152" s="383"/>
      <c r="J152" s="383"/>
      <c r="K152" s="433"/>
      <c r="M152" s="434"/>
    </row>
    <row r="153" spans="1:13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  <c r="M153" s="434"/>
    </row>
    <row r="154" spans="1:13" s="423" customFormat="1" x14ac:dyDescent="0.2">
      <c r="A154" s="204">
        <v>781</v>
      </c>
      <c r="B154" s="205"/>
      <c r="C154" s="206" t="s">
        <v>894</v>
      </c>
      <c r="D154" s="432"/>
      <c r="E154" s="383">
        <f>+E155+E156+E157</f>
        <v>11207800</v>
      </c>
      <c r="F154" s="383"/>
      <c r="G154" s="383"/>
      <c r="H154" s="383"/>
      <c r="I154" s="383"/>
      <c r="J154" s="383">
        <f>+E154+F154+G154+H154-I154</f>
        <v>11207800</v>
      </c>
      <c r="K154" s="103" t="e">
        <f>J154/J$184*100</f>
        <v>#REF!</v>
      </c>
      <c r="M154" s="434"/>
    </row>
    <row r="155" spans="1:13" s="423" customFormat="1" x14ac:dyDescent="0.2">
      <c r="A155" s="204">
        <v>7810</v>
      </c>
      <c r="B155" s="205"/>
      <c r="C155" s="206" t="s">
        <v>889</v>
      </c>
      <c r="D155" s="432"/>
      <c r="E155" s="383">
        <v>3847800</v>
      </c>
      <c r="F155" s="383"/>
      <c r="G155" s="383"/>
      <c r="H155" s="383"/>
      <c r="I155" s="383"/>
      <c r="J155" s="383">
        <f>+E155+F155+G155+H155-I155</f>
        <v>3847800</v>
      </c>
      <c r="K155" s="433"/>
      <c r="M155" s="434"/>
    </row>
    <row r="156" spans="1:13" s="423" customFormat="1" x14ac:dyDescent="0.2">
      <c r="A156" s="204">
        <v>7811</v>
      </c>
      <c r="B156" s="205"/>
      <c r="C156" s="206" t="s">
        <v>890</v>
      </c>
      <c r="D156" s="432"/>
      <c r="E156" s="383">
        <v>0</v>
      </c>
      <c r="F156" s="383"/>
      <c r="G156" s="383"/>
      <c r="H156" s="383"/>
      <c r="I156" s="383"/>
      <c r="J156" s="383">
        <f>+E156+F156+G156+H156-I156</f>
        <v>0</v>
      </c>
      <c r="K156" s="433"/>
      <c r="M156" s="434"/>
    </row>
    <row r="157" spans="1:13" s="423" customFormat="1" x14ac:dyDescent="0.2">
      <c r="A157" s="204">
        <v>7812</v>
      </c>
      <c r="B157" s="205"/>
      <c r="C157" s="206" t="s">
        <v>893</v>
      </c>
      <c r="D157" s="432"/>
      <c r="E157" s="383">
        <v>7360000</v>
      </c>
      <c r="F157" s="383"/>
      <c r="G157" s="383"/>
      <c r="H157" s="383"/>
      <c r="I157" s="383"/>
      <c r="J157" s="383">
        <f>+E157+F157+G157+H157-I157</f>
        <v>7360000</v>
      </c>
      <c r="K157" s="433"/>
      <c r="M157" s="434"/>
    </row>
    <row r="158" spans="1:13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  <c r="M158" s="434"/>
    </row>
    <row r="159" spans="1:13" s="423" customFormat="1" x14ac:dyDescent="0.2">
      <c r="A159" s="204">
        <v>782</v>
      </c>
      <c r="B159" s="205"/>
      <c r="C159" s="206" t="s">
        <v>900</v>
      </c>
      <c r="D159" s="432"/>
      <c r="E159" s="383">
        <v>6688500</v>
      </c>
      <c r="F159" s="383"/>
      <c r="G159" s="383"/>
      <c r="H159" s="383"/>
      <c r="I159" s="383"/>
      <c r="J159" s="383">
        <f>+E159+F159+G159+H159-I159</f>
        <v>6688500</v>
      </c>
      <c r="K159" s="103" t="e">
        <f>J159/J$184*100</f>
        <v>#REF!</v>
      </c>
      <c r="M159" s="434"/>
    </row>
    <row r="160" spans="1:13" s="423" customFormat="1" x14ac:dyDescent="0.2">
      <c r="A160" s="204">
        <v>7820</v>
      </c>
      <c r="B160" s="205"/>
      <c r="C160" s="206" t="s">
        <v>896</v>
      </c>
      <c r="D160" s="432"/>
      <c r="E160" s="383">
        <v>0</v>
      </c>
      <c r="F160" s="383"/>
      <c r="G160" s="383"/>
      <c r="H160" s="383"/>
      <c r="I160" s="383"/>
      <c r="J160" s="383">
        <f>+E160+F160+G160+H160-I160</f>
        <v>0</v>
      </c>
      <c r="K160" s="433"/>
      <c r="M160" s="434"/>
    </row>
    <row r="161" spans="1:13" s="423" customFormat="1" x14ac:dyDescent="0.2">
      <c r="A161" s="204">
        <v>7821</v>
      </c>
      <c r="B161" s="205"/>
      <c r="C161" s="206" t="s">
        <v>897</v>
      </c>
      <c r="D161" s="432"/>
      <c r="E161" s="383">
        <v>0</v>
      </c>
      <c r="F161" s="383"/>
      <c r="G161" s="383"/>
      <c r="H161" s="383"/>
      <c r="I161" s="383"/>
      <c r="J161" s="383">
        <f>+E161+F161+G161+H161-I161</f>
        <v>0</v>
      </c>
      <c r="K161" s="433"/>
      <c r="M161" s="434"/>
    </row>
    <row r="162" spans="1:13" s="423" customFormat="1" x14ac:dyDescent="0.2">
      <c r="A162" s="204">
        <v>7822</v>
      </c>
      <c r="B162" s="205"/>
      <c r="C162" s="206" t="s">
        <v>898</v>
      </c>
      <c r="D162" s="432"/>
      <c r="E162" s="383">
        <v>0</v>
      </c>
      <c r="F162" s="383"/>
      <c r="G162" s="383"/>
      <c r="H162" s="383"/>
      <c r="I162" s="383"/>
      <c r="J162" s="383">
        <f>+E162+F162+G162+H162-I162</f>
        <v>0</v>
      </c>
      <c r="K162" s="433"/>
      <c r="M162" s="434"/>
    </row>
    <row r="163" spans="1:13" s="423" customFormat="1" x14ac:dyDescent="0.2">
      <c r="A163" s="204">
        <v>7823</v>
      </c>
      <c r="B163" s="205"/>
      <c r="C163" s="206" t="s">
        <v>899</v>
      </c>
      <c r="D163" s="432"/>
      <c r="E163" s="383"/>
      <c r="F163" s="383"/>
      <c r="G163" s="383"/>
      <c r="H163" s="383"/>
      <c r="I163" s="383"/>
      <c r="J163" s="383"/>
      <c r="K163" s="433"/>
      <c r="M163" s="434"/>
    </row>
    <row r="164" spans="1:13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  <c r="M164" s="434"/>
    </row>
    <row r="165" spans="1:13" s="423" customFormat="1" x14ac:dyDescent="0.2">
      <c r="A165" s="204">
        <v>783</v>
      </c>
      <c r="B165" s="205"/>
      <c r="C165" s="206" t="s">
        <v>902</v>
      </c>
      <c r="D165" s="432"/>
      <c r="E165" s="383">
        <v>310800</v>
      </c>
      <c r="F165" s="383"/>
      <c r="G165" s="383"/>
      <c r="H165" s="383"/>
      <c r="I165" s="383"/>
      <c r="J165" s="383">
        <f>+E165+F165+G165+H165-I165</f>
        <v>310800</v>
      </c>
      <c r="K165" s="103" t="e">
        <f>J165/J$184*100</f>
        <v>#REF!</v>
      </c>
      <c r="M165" s="434"/>
    </row>
    <row r="166" spans="1:13" s="423" customFormat="1" x14ac:dyDescent="0.2">
      <c r="A166" s="204">
        <v>7830</v>
      </c>
      <c r="B166" s="205"/>
      <c r="C166" s="206" t="s">
        <v>901</v>
      </c>
      <c r="D166" s="432"/>
      <c r="E166" s="383"/>
      <c r="F166" s="383"/>
      <c r="G166" s="383"/>
      <c r="H166" s="383"/>
      <c r="I166" s="383"/>
      <c r="J166" s="383"/>
      <c r="K166" s="433"/>
      <c r="M166" s="434"/>
    </row>
    <row r="167" spans="1:13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  <c r="M167" s="434"/>
    </row>
    <row r="168" spans="1:13" s="423" customFormat="1" x14ac:dyDescent="0.2">
      <c r="A168" s="204">
        <v>784</v>
      </c>
      <c r="B168" s="205"/>
      <c r="C168" s="206" t="s">
        <v>905</v>
      </c>
      <c r="D168" s="432"/>
      <c r="E168" s="383">
        <f>+E169+E170</f>
        <v>9193500</v>
      </c>
      <c r="F168" s="383"/>
      <c r="G168" s="383"/>
      <c r="H168" s="383"/>
      <c r="I168" s="383"/>
      <c r="J168" s="383">
        <f>+E168+F168+G168+H168-I168</f>
        <v>9193500</v>
      </c>
      <c r="K168" s="103" t="e">
        <f>J168/J$184*100</f>
        <v>#REF!</v>
      </c>
      <c r="M168" s="434"/>
    </row>
    <row r="169" spans="1:13" s="423" customFormat="1" x14ac:dyDescent="0.2">
      <c r="A169" s="204">
        <v>7840</v>
      </c>
      <c r="B169" s="205"/>
      <c r="C169" s="206" t="s">
        <v>903</v>
      </c>
      <c r="D169" s="432"/>
      <c r="E169" s="383">
        <v>9193500</v>
      </c>
      <c r="F169" s="383"/>
      <c r="G169" s="383"/>
      <c r="H169" s="383"/>
      <c r="I169" s="383"/>
      <c r="J169" s="383">
        <f>+E169+F169+G169+H169-I169</f>
        <v>9193500</v>
      </c>
      <c r="K169" s="433"/>
      <c r="M169" s="434"/>
    </row>
    <row r="170" spans="1:13" s="423" customFormat="1" x14ac:dyDescent="0.2">
      <c r="A170" s="204">
        <v>7841</v>
      </c>
      <c r="B170" s="205"/>
      <c r="C170" s="206" t="s">
        <v>904</v>
      </c>
      <c r="D170" s="432"/>
      <c r="E170" s="383">
        <v>0</v>
      </c>
      <c r="F170" s="383"/>
      <c r="G170" s="383"/>
      <c r="H170" s="383"/>
      <c r="I170" s="383"/>
      <c r="J170" s="383">
        <f>+E170+F170+G170+H170-I170</f>
        <v>0</v>
      </c>
      <c r="K170" s="433"/>
      <c r="M170" s="434"/>
    </row>
    <row r="171" spans="1:13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  <c r="M171" s="434"/>
    </row>
    <row r="172" spans="1:13" s="423" customFormat="1" x14ac:dyDescent="0.2">
      <c r="A172" s="204">
        <v>785</v>
      </c>
      <c r="B172" s="205"/>
      <c r="C172" s="206" t="s">
        <v>908</v>
      </c>
      <c r="D172" s="432"/>
      <c r="E172" s="383">
        <f>+E173+E174</f>
        <v>24533200</v>
      </c>
      <c r="F172" s="383"/>
      <c r="G172" s="383"/>
      <c r="H172" s="383"/>
      <c r="I172" s="383"/>
      <c r="J172" s="383">
        <f>+E172+F172+G172+H172-I172</f>
        <v>24533200</v>
      </c>
      <c r="K172" s="103" t="e">
        <f>J172/J$184*100</f>
        <v>#REF!</v>
      </c>
      <c r="M172" s="434"/>
    </row>
    <row r="173" spans="1:13" s="423" customFormat="1" x14ac:dyDescent="0.2">
      <c r="A173" s="204">
        <v>7850</v>
      </c>
      <c r="B173" s="205"/>
      <c r="C173" s="206" t="s">
        <v>906</v>
      </c>
      <c r="D173" s="432"/>
      <c r="E173" s="383">
        <v>16785900</v>
      </c>
      <c r="F173" s="383"/>
      <c r="G173" s="383"/>
      <c r="H173" s="383"/>
      <c r="I173" s="383"/>
      <c r="J173" s="383">
        <f>+E173+F173+G173+H173-I173</f>
        <v>16785900</v>
      </c>
      <c r="K173" s="433"/>
      <c r="M173" s="434"/>
    </row>
    <row r="174" spans="1:13" s="423" customFormat="1" x14ac:dyDescent="0.2">
      <c r="A174" s="204">
        <v>7851</v>
      </c>
      <c r="B174" s="205"/>
      <c r="C174" s="206" t="s">
        <v>907</v>
      </c>
      <c r="D174" s="432"/>
      <c r="E174" s="383">
        <v>7747300</v>
      </c>
      <c r="F174" s="383"/>
      <c r="G174" s="383"/>
      <c r="H174" s="383"/>
      <c r="I174" s="383"/>
      <c r="J174" s="383">
        <f>+E174+F174+G174+H174-I174</f>
        <v>7747300</v>
      </c>
      <c r="K174" s="433"/>
      <c r="M174" s="434"/>
    </row>
    <row r="175" spans="1:13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  <c r="M175" s="434"/>
    </row>
    <row r="176" spans="1:13" s="423" customFormat="1" x14ac:dyDescent="0.2">
      <c r="A176" s="204">
        <v>786</v>
      </c>
      <c r="B176" s="205"/>
      <c r="C176" s="206" t="s">
        <v>910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  <c r="M176" s="434"/>
    </row>
    <row r="177" spans="1:13" s="423" customFormat="1" x14ac:dyDescent="0.2">
      <c r="A177" s="204">
        <v>7860</v>
      </c>
      <c r="B177" s="205"/>
      <c r="C177" s="206" t="s">
        <v>909</v>
      </c>
      <c r="D177" s="432"/>
      <c r="E177" s="383"/>
      <c r="F177" s="383"/>
      <c r="G177" s="383"/>
      <c r="H177" s="383"/>
      <c r="I177" s="383"/>
      <c r="J177" s="383"/>
      <c r="K177" s="433"/>
      <c r="M177" s="434"/>
    </row>
    <row r="178" spans="1:13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  <c r="M178" s="434"/>
    </row>
    <row r="179" spans="1:13" s="423" customFormat="1" x14ac:dyDescent="0.2">
      <c r="A179" s="204">
        <v>787</v>
      </c>
      <c r="B179" s="205"/>
      <c r="C179" s="206" t="s">
        <v>912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  <c r="M179" s="434"/>
    </row>
    <row r="180" spans="1:13" s="423" customFormat="1" x14ac:dyDescent="0.2">
      <c r="A180" s="204">
        <v>7870</v>
      </c>
      <c r="B180" s="205"/>
      <c r="C180" s="206" t="s">
        <v>911</v>
      </c>
      <c r="D180" s="432"/>
      <c r="E180" s="383"/>
      <c r="F180" s="383"/>
      <c r="G180" s="383"/>
      <c r="H180" s="383"/>
      <c r="I180" s="383"/>
      <c r="J180" s="383"/>
      <c r="K180" s="433"/>
      <c r="M180" s="434"/>
    </row>
    <row r="181" spans="1:13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3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3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3" ht="19.5" thickTop="1" thickBot="1" x14ac:dyDescent="0.3">
      <c r="A184" s="53" t="s">
        <v>866</v>
      </c>
      <c r="B184" s="53"/>
      <c r="C184" s="131" t="s">
        <v>583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3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3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3" ht="17.25" thickTop="1" thickBot="1" x14ac:dyDescent="0.3">
      <c r="A187" s="69"/>
      <c r="B187" s="70" t="s">
        <v>83</v>
      </c>
      <c r="C187" s="77" t="s">
        <v>585</v>
      </c>
      <c r="D187" s="142"/>
      <c r="E187" s="73">
        <f>E190+E252+E291+E305+E319</f>
        <v>1652565160</v>
      </c>
      <c r="F187" s="73">
        <f>F190+F252+F291+F305+F319-3</f>
        <v>313919450</v>
      </c>
      <c r="G187" s="73">
        <f>G190+G252+G291+G305+G319+2</f>
        <v>836592232</v>
      </c>
      <c r="H187" s="73">
        <f>H190+H252+H291+H305+H319</f>
        <v>405195627</v>
      </c>
      <c r="I187" s="73">
        <f>I190+I252+I291+I305+I319</f>
        <v>495121340</v>
      </c>
      <c r="J187" s="75">
        <f>E187+F187+G187+H187-I187</f>
        <v>2713151129</v>
      </c>
      <c r="K187" s="76" t="e">
        <f>J187/J$184*100</f>
        <v>#REF!</v>
      </c>
    </row>
    <row r="188" spans="1:13" ht="16.5" thickTop="1" x14ac:dyDescent="0.25">
      <c r="A188" s="69"/>
      <c r="B188" s="70"/>
      <c r="C188" s="77" t="s">
        <v>587</v>
      </c>
      <c r="D188" s="142"/>
      <c r="E188" s="143"/>
      <c r="F188" s="73"/>
      <c r="G188" s="73"/>
      <c r="H188" s="73"/>
      <c r="I188" s="73"/>
      <c r="J188" s="80"/>
      <c r="K188" s="144"/>
    </row>
    <row r="189" spans="1:13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3" ht="15.75" x14ac:dyDescent="0.25">
      <c r="A190" s="88">
        <v>40</v>
      </c>
      <c r="B190" s="89"/>
      <c r="C190" s="90" t="s">
        <v>588</v>
      </c>
      <c r="D190" s="146"/>
      <c r="E190" s="32">
        <f>E193+E206+E216+E232+E239+E246</f>
        <v>818656791</v>
      </c>
      <c r="F190" s="32">
        <f>F193+F206+F216+F232+F239+F246</f>
        <v>128019127</v>
      </c>
      <c r="G190" s="32">
        <f>G193+G206+G216+G232+G239+G246</f>
        <v>10749234</v>
      </c>
      <c r="H190" s="32">
        <f>H193+H206+H216+H232+H239+H246</f>
        <v>354628365</v>
      </c>
      <c r="I190" s="32">
        <f>+I206+I216</f>
        <v>109151302</v>
      </c>
      <c r="J190" s="32">
        <f>E190+F190+G190+H190-I190</f>
        <v>1202902215</v>
      </c>
      <c r="K190" s="92" t="e">
        <f>J190/J$184*100</f>
        <v>#REF!</v>
      </c>
    </row>
    <row r="191" spans="1:13" x14ac:dyDescent="0.2">
      <c r="A191" s="147"/>
      <c r="B191" s="148"/>
      <c r="C191" s="96" t="s">
        <v>816</v>
      </c>
      <c r="D191" s="145"/>
      <c r="E191" s="34"/>
      <c r="F191" s="34"/>
      <c r="G191" s="34"/>
      <c r="H191" s="34"/>
      <c r="I191" s="34"/>
      <c r="J191" s="34"/>
      <c r="K191" s="105"/>
    </row>
    <row r="192" spans="1:13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1" x14ac:dyDescent="0.2">
      <c r="A193" s="99"/>
      <c r="B193" s="100"/>
      <c r="C193" s="101" t="s">
        <v>817</v>
      </c>
      <c r="D193" s="149"/>
      <c r="E193" s="31">
        <f>+E195+E204</f>
        <v>423105092</v>
      </c>
      <c r="F193" s="31">
        <f>+F195+F204</f>
        <v>37772990</v>
      </c>
      <c r="G193" s="31">
        <f>+G195+G204</f>
        <v>3449753</v>
      </c>
      <c r="H193" s="31">
        <f>+H195+H204</f>
        <v>141912585</v>
      </c>
      <c r="I193" s="31">
        <f>+I195+I204</f>
        <v>0</v>
      </c>
      <c r="J193" s="31">
        <f>E193+F193+G193+H193-I193</f>
        <v>606240420</v>
      </c>
      <c r="K193" s="103" t="e">
        <f>J193/J$184*100</f>
        <v>#REF!</v>
      </c>
    </row>
    <row r="194" spans="1:11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1" x14ac:dyDescent="0.2">
      <c r="A195" s="99">
        <v>400</v>
      </c>
      <c r="B195" s="100"/>
      <c r="C195" s="101" t="s">
        <v>818</v>
      </c>
      <c r="D195" s="149"/>
      <c r="E195" s="31">
        <f>SUM(E196:E202)</f>
        <v>185968755</v>
      </c>
      <c r="F195" s="31">
        <v>17780227</v>
      </c>
      <c r="G195" s="31">
        <v>3449753</v>
      </c>
      <c r="H195" s="31">
        <v>4347893</v>
      </c>
      <c r="I195" s="31">
        <v>0</v>
      </c>
      <c r="J195" s="31">
        <f>E195+F195+G195+H195-I195</f>
        <v>211546628</v>
      </c>
      <c r="K195" s="103" t="e">
        <f>J195/J$184*100</f>
        <v>#REF!</v>
      </c>
    </row>
    <row r="196" spans="1:11" x14ac:dyDescent="0.2">
      <c r="A196" s="99">
        <v>4000</v>
      </c>
      <c r="B196" s="100"/>
      <c r="C196" s="101" t="s">
        <v>593</v>
      </c>
      <c r="D196" s="149"/>
      <c r="E196" s="31">
        <v>158626815</v>
      </c>
      <c r="F196" s="202" t="s">
        <v>845</v>
      </c>
      <c r="G196" s="202" t="s">
        <v>845</v>
      </c>
      <c r="H196" s="202" t="s">
        <v>845</v>
      </c>
      <c r="I196" s="202" t="s">
        <v>845</v>
      </c>
      <c r="J196" s="202" t="s">
        <v>845</v>
      </c>
      <c r="K196" s="103"/>
    </row>
    <row r="197" spans="1:11" x14ac:dyDescent="0.2">
      <c r="A197" s="99">
        <v>4001</v>
      </c>
      <c r="B197" s="100"/>
      <c r="C197" s="101" t="s">
        <v>595</v>
      </c>
      <c r="D197" s="149"/>
      <c r="E197" s="31">
        <v>5428906</v>
      </c>
      <c r="F197" s="202" t="s">
        <v>845</v>
      </c>
      <c r="G197" s="202" t="s">
        <v>845</v>
      </c>
      <c r="H197" s="202" t="s">
        <v>845</v>
      </c>
      <c r="I197" s="202" t="s">
        <v>845</v>
      </c>
      <c r="J197" s="202" t="s">
        <v>845</v>
      </c>
      <c r="K197" s="103"/>
    </row>
    <row r="198" spans="1:11" x14ac:dyDescent="0.2">
      <c r="A198" s="99">
        <v>4002</v>
      </c>
      <c r="B198" s="100"/>
      <c r="C198" s="101" t="s">
        <v>597</v>
      </c>
      <c r="D198" s="149"/>
      <c r="E198" s="31">
        <v>14774613</v>
      </c>
      <c r="F198" s="202" t="s">
        <v>845</v>
      </c>
      <c r="G198" s="202" t="s">
        <v>845</v>
      </c>
      <c r="H198" s="202" t="s">
        <v>845</v>
      </c>
      <c r="I198" s="202" t="s">
        <v>845</v>
      </c>
      <c r="J198" s="202" t="s">
        <v>845</v>
      </c>
      <c r="K198" s="103"/>
    </row>
    <row r="199" spans="1:11" x14ac:dyDescent="0.2">
      <c r="A199" s="99">
        <v>4003</v>
      </c>
      <c r="B199" s="100"/>
      <c r="C199" s="101" t="s">
        <v>599</v>
      </c>
      <c r="D199" s="149"/>
      <c r="E199" s="31">
        <v>3819360</v>
      </c>
      <c r="F199" s="202" t="s">
        <v>845</v>
      </c>
      <c r="G199" s="202" t="s">
        <v>845</v>
      </c>
      <c r="H199" s="202" t="s">
        <v>845</v>
      </c>
      <c r="I199" s="202" t="s">
        <v>845</v>
      </c>
      <c r="J199" s="202" t="s">
        <v>845</v>
      </c>
      <c r="K199" s="103"/>
    </row>
    <row r="200" spans="1:11" x14ac:dyDescent="0.2">
      <c r="A200" s="99">
        <v>4004</v>
      </c>
      <c r="B200" s="100"/>
      <c r="C200" s="101" t="s">
        <v>601</v>
      </c>
      <c r="D200" s="149"/>
      <c r="E200" s="31">
        <v>1997410</v>
      </c>
      <c r="F200" s="202" t="s">
        <v>845</v>
      </c>
      <c r="G200" s="202" t="s">
        <v>845</v>
      </c>
      <c r="H200" s="202" t="s">
        <v>845</v>
      </c>
      <c r="I200" s="202" t="s">
        <v>845</v>
      </c>
      <c r="J200" s="202" t="s">
        <v>845</v>
      </c>
      <c r="K200" s="103"/>
    </row>
    <row r="201" spans="1:11" x14ac:dyDescent="0.2">
      <c r="A201" s="99">
        <v>4005</v>
      </c>
      <c r="B201" s="100"/>
      <c r="C201" s="101" t="s">
        <v>603</v>
      </c>
      <c r="D201" s="149"/>
      <c r="E201" s="31">
        <v>23298</v>
      </c>
      <c r="F201" s="202" t="s">
        <v>845</v>
      </c>
      <c r="G201" s="202" t="s">
        <v>845</v>
      </c>
      <c r="H201" s="202" t="s">
        <v>845</v>
      </c>
      <c r="I201" s="202" t="s">
        <v>845</v>
      </c>
      <c r="J201" s="202" t="s">
        <v>845</v>
      </c>
      <c r="K201" s="103"/>
    </row>
    <row r="202" spans="1:11" x14ac:dyDescent="0.2">
      <c r="A202" s="99">
        <v>4009</v>
      </c>
      <c r="B202" s="100"/>
      <c r="C202" s="101" t="s">
        <v>605</v>
      </c>
      <c r="D202" s="149"/>
      <c r="E202" s="31">
        <v>1298353</v>
      </c>
      <c r="F202" s="202" t="s">
        <v>845</v>
      </c>
      <c r="G202" s="202" t="s">
        <v>845</v>
      </c>
      <c r="H202" s="202" t="s">
        <v>845</v>
      </c>
      <c r="I202" s="202" t="s">
        <v>845</v>
      </c>
      <c r="J202" s="202" t="s">
        <v>845</v>
      </c>
      <c r="K202" s="103"/>
    </row>
    <row r="203" spans="1:11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1" x14ac:dyDescent="0.2">
      <c r="A204" s="99">
        <v>413300</v>
      </c>
      <c r="B204" s="100"/>
      <c r="C204" s="101" t="s">
        <v>819</v>
      </c>
      <c r="D204" s="149"/>
      <c r="E204" s="31">
        <v>237136337</v>
      </c>
      <c r="F204" s="31">
        <v>19992763</v>
      </c>
      <c r="G204" s="31"/>
      <c r="H204" s="31">
        <f>135955764+1608928</f>
        <v>137564692</v>
      </c>
      <c r="I204" s="31">
        <v>0</v>
      </c>
      <c r="J204" s="31">
        <f>E204+F204+G204+H204-I204</f>
        <v>394693792</v>
      </c>
      <c r="K204" s="103" t="e">
        <f>J204/J$184*100</f>
        <v>#REF!</v>
      </c>
    </row>
    <row r="205" spans="1:11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1" x14ac:dyDescent="0.2">
      <c r="A206" s="151"/>
      <c r="B206" s="115"/>
      <c r="C206" s="112" t="s">
        <v>820</v>
      </c>
      <c r="D206" s="152"/>
      <c r="E206" s="113">
        <f>+E208+E214</f>
        <v>72944660</v>
      </c>
      <c r="F206" s="113">
        <f>+F208+F214</f>
        <v>5574371</v>
      </c>
      <c r="G206" s="113">
        <f>+G208+G214</f>
        <v>496204</v>
      </c>
      <c r="H206" s="113">
        <f>+H208+H214</f>
        <v>30136067</v>
      </c>
      <c r="I206" s="426">
        <f>+I208+I214</f>
        <v>109151302</v>
      </c>
      <c r="J206" s="113">
        <f>E206+F206+G206+H206-I206</f>
        <v>0</v>
      </c>
      <c r="K206" s="110"/>
    </row>
    <row r="207" spans="1:11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1" x14ac:dyDescent="0.2">
      <c r="A208" s="106">
        <v>401</v>
      </c>
      <c r="B208" s="107"/>
      <c r="C208" s="108" t="s">
        <v>832</v>
      </c>
      <c r="D208" s="153"/>
      <c r="E208" s="109">
        <f>SUM(E209:E212)</f>
        <v>29865028</v>
      </c>
      <c r="F208" s="109">
        <f>SUM(F209:F212)</f>
        <v>2564220</v>
      </c>
      <c r="G208" s="109">
        <f>SUM(G209:G212)</f>
        <v>496204</v>
      </c>
      <c r="H208" s="109">
        <f>SUM(H209:H212)</f>
        <v>618803</v>
      </c>
      <c r="I208" s="109">
        <f>SUM(I209:I212)</f>
        <v>33544255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608</v>
      </c>
      <c r="D209" s="153"/>
      <c r="E209" s="109">
        <v>18457255</v>
      </c>
      <c r="F209" s="109">
        <v>1615454</v>
      </c>
      <c r="G209" s="109">
        <v>272729</v>
      </c>
      <c r="H209" s="109">
        <v>344428</v>
      </c>
      <c r="I209" s="109">
        <f>E209+F209+G209+H209</f>
        <v>20689866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613</v>
      </c>
      <c r="D210" s="153"/>
      <c r="E210" s="109">
        <v>11148354</v>
      </c>
      <c r="F210" s="109">
        <v>917990</v>
      </c>
      <c r="G210" s="109">
        <v>218537</v>
      </c>
      <c r="H210" s="109">
        <v>268148</v>
      </c>
      <c r="I210" s="109">
        <f>E210+F210+G210+H210</f>
        <v>12553029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615</v>
      </c>
      <c r="D211" s="153"/>
      <c r="E211" s="109">
        <v>97157</v>
      </c>
      <c r="F211" s="109">
        <v>14108</v>
      </c>
      <c r="G211" s="109">
        <v>1862</v>
      </c>
      <c r="H211" s="109">
        <v>2335</v>
      </c>
      <c r="I211" s="109">
        <f>E211+F211+G211+H211</f>
        <v>115462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617</v>
      </c>
      <c r="D212" s="153"/>
      <c r="E212" s="109">
        <v>162262</v>
      </c>
      <c r="F212" s="109">
        <v>16668</v>
      </c>
      <c r="G212" s="109">
        <v>3076</v>
      </c>
      <c r="H212" s="109">
        <v>3892</v>
      </c>
      <c r="I212" s="109">
        <f>E212+F212+G212+H212</f>
        <v>185898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821</v>
      </c>
      <c r="D214" s="153"/>
      <c r="E214" s="109">
        <v>43079632</v>
      </c>
      <c r="F214" s="109">
        <v>3010151</v>
      </c>
      <c r="G214" s="109"/>
      <c r="H214" s="109">
        <v>29517264</v>
      </c>
      <c r="I214" s="109">
        <f>E214+F214+G214+H214</f>
        <v>75607047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822</v>
      </c>
      <c r="D216" s="149"/>
      <c r="E216" s="31">
        <f t="shared" ref="E216:J216" si="14">+E218+E230</f>
        <v>213784199</v>
      </c>
      <c r="F216" s="31">
        <f t="shared" si="14"/>
        <v>82059038</v>
      </c>
      <c r="G216" s="31">
        <f t="shared" si="14"/>
        <v>5366450</v>
      </c>
      <c r="H216" s="31">
        <f t="shared" si="14"/>
        <v>181779713</v>
      </c>
      <c r="I216" s="31">
        <f t="shared" si="14"/>
        <v>0</v>
      </c>
      <c r="J216" s="31">
        <f t="shared" si="14"/>
        <v>482989400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833</v>
      </c>
      <c r="D218" s="149"/>
      <c r="E218" s="31">
        <f>SUM(E219:E228)</f>
        <v>162730187</v>
      </c>
      <c r="F218" s="31">
        <f>SUM(F219:F228)</f>
        <v>51065115</v>
      </c>
      <c r="G218" s="31">
        <v>5366450</v>
      </c>
      <c r="H218" s="31">
        <v>4642341</v>
      </c>
      <c r="I218" s="31">
        <f>SUM(I219:I228)</f>
        <v>0</v>
      </c>
      <c r="J218" s="31">
        <f>E218+F218+G218+H218-I218</f>
        <v>223804093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937</v>
      </c>
      <c r="D219" s="149"/>
      <c r="E219" s="31">
        <v>22101721</v>
      </c>
      <c r="F219" s="31">
        <v>7248618</v>
      </c>
      <c r="G219" s="202" t="s">
        <v>845</v>
      </c>
      <c r="H219" s="202" t="s">
        <v>845</v>
      </c>
      <c r="I219" s="202" t="s">
        <v>845</v>
      </c>
      <c r="J219" s="202" t="s">
        <v>845</v>
      </c>
      <c r="K219" s="155"/>
    </row>
    <row r="220" spans="1:11" x14ac:dyDescent="0.2">
      <c r="A220" s="99">
        <v>4021</v>
      </c>
      <c r="B220" s="100"/>
      <c r="C220" s="101" t="s">
        <v>939</v>
      </c>
      <c r="D220" s="149"/>
      <c r="E220" s="31">
        <v>36706858</v>
      </c>
      <c r="F220" s="31">
        <v>1720843</v>
      </c>
      <c r="G220" s="202" t="s">
        <v>845</v>
      </c>
      <c r="H220" s="202" t="s">
        <v>845</v>
      </c>
      <c r="I220" s="202" t="s">
        <v>845</v>
      </c>
      <c r="J220" s="202" t="s">
        <v>845</v>
      </c>
      <c r="K220" s="155"/>
    </row>
    <row r="221" spans="1:11" x14ac:dyDescent="0.2">
      <c r="A221" s="99">
        <v>4022</v>
      </c>
      <c r="B221" s="100"/>
      <c r="C221" s="101" t="s">
        <v>941</v>
      </c>
      <c r="D221" s="149"/>
      <c r="E221" s="31">
        <v>12915858</v>
      </c>
      <c r="F221" s="31">
        <v>6365364</v>
      </c>
      <c r="G221" s="202" t="s">
        <v>845</v>
      </c>
      <c r="H221" s="202" t="s">
        <v>845</v>
      </c>
      <c r="I221" s="202" t="s">
        <v>845</v>
      </c>
      <c r="J221" s="202" t="s">
        <v>845</v>
      </c>
      <c r="K221" s="155"/>
    </row>
    <row r="222" spans="1:11" x14ac:dyDescent="0.2">
      <c r="A222" s="99">
        <v>4023</v>
      </c>
      <c r="B222" s="100"/>
      <c r="C222" s="101" t="s">
        <v>943</v>
      </c>
      <c r="D222" s="149"/>
      <c r="E222" s="31">
        <v>7989476</v>
      </c>
      <c r="F222" s="31">
        <v>579575</v>
      </c>
      <c r="G222" s="202" t="s">
        <v>845</v>
      </c>
      <c r="H222" s="202" t="s">
        <v>845</v>
      </c>
      <c r="I222" s="202" t="s">
        <v>845</v>
      </c>
      <c r="J222" s="202" t="s">
        <v>845</v>
      </c>
      <c r="K222" s="155"/>
    </row>
    <row r="223" spans="1:11" x14ac:dyDescent="0.2">
      <c r="A223" s="99">
        <v>4024</v>
      </c>
      <c r="B223" s="100"/>
      <c r="C223" s="101" t="s">
        <v>945</v>
      </c>
      <c r="D223" s="149"/>
      <c r="E223" s="31">
        <v>5214076</v>
      </c>
      <c r="F223" s="31">
        <v>348705</v>
      </c>
      <c r="G223" s="202" t="s">
        <v>845</v>
      </c>
      <c r="H223" s="202" t="s">
        <v>845</v>
      </c>
      <c r="I223" s="202" t="s">
        <v>845</v>
      </c>
      <c r="J223" s="202" t="s">
        <v>845</v>
      </c>
      <c r="K223" s="155"/>
    </row>
    <row r="224" spans="1:11" x14ac:dyDescent="0.2">
      <c r="A224" s="99">
        <v>4025</v>
      </c>
      <c r="B224" s="100"/>
      <c r="C224" s="101" t="s">
        <v>947</v>
      </c>
      <c r="D224" s="149"/>
      <c r="E224" s="31">
        <v>25321776</v>
      </c>
      <c r="F224" s="31">
        <v>20620092</v>
      </c>
      <c r="G224" s="202" t="s">
        <v>845</v>
      </c>
      <c r="H224" s="202" t="s">
        <v>845</v>
      </c>
      <c r="I224" s="202" t="s">
        <v>845</v>
      </c>
      <c r="J224" s="202" t="s">
        <v>845</v>
      </c>
      <c r="K224" s="155"/>
    </row>
    <row r="225" spans="1:11" x14ac:dyDescent="0.2">
      <c r="A225" s="99">
        <v>4026</v>
      </c>
      <c r="B225" s="100"/>
      <c r="C225" s="101" t="s">
        <v>949</v>
      </c>
      <c r="D225" s="149"/>
      <c r="E225" s="31">
        <v>12992788</v>
      </c>
      <c r="F225" s="31">
        <v>912722</v>
      </c>
      <c r="G225" s="202" t="s">
        <v>845</v>
      </c>
      <c r="H225" s="202" t="s">
        <v>845</v>
      </c>
      <c r="I225" s="202" t="s">
        <v>845</v>
      </c>
      <c r="J225" s="202" t="s">
        <v>845</v>
      </c>
      <c r="K225" s="155"/>
    </row>
    <row r="226" spans="1:11" x14ac:dyDescent="0.2">
      <c r="A226" s="99">
        <v>4027</v>
      </c>
      <c r="B226" s="100"/>
      <c r="C226" s="101" t="s">
        <v>951</v>
      </c>
      <c r="D226" s="149"/>
      <c r="E226" s="31">
        <v>3369203</v>
      </c>
      <c r="F226" s="31">
        <v>1893000</v>
      </c>
      <c r="G226" s="202" t="s">
        <v>845</v>
      </c>
      <c r="H226" s="202" t="s">
        <v>845</v>
      </c>
      <c r="I226" s="202" t="s">
        <v>845</v>
      </c>
      <c r="J226" s="202" t="s">
        <v>845</v>
      </c>
      <c r="K226" s="155"/>
    </row>
    <row r="227" spans="1:11" x14ac:dyDescent="0.2">
      <c r="A227" s="99">
        <v>4028</v>
      </c>
      <c r="B227" s="100"/>
      <c r="C227" s="101" t="s">
        <v>265</v>
      </c>
      <c r="D227" s="149"/>
      <c r="E227" s="31">
        <v>9149971</v>
      </c>
      <c r="F227" s="31">
        <v>802821</v>
      </c>
      <c r="G227" s="202" t="s">
        <v>845</v>
      </c>
      <c r="H227" s="202" t="s">
        <v>845</v>
      </c>
      <c r="I227" s="202" t="s">
        <v>845</v>
      </c>
      <c r="J227" s="202" t="s">
        <v>845</v>
      </c>
      <c r="K227" s="155"/>
    </row>
    <row r="228" spans="1:11" x14ac:dyDescent="0.2">
      <c r="A228" s="99">
        <v>4029</v>
      </c>
      <c r="B228" s="100"/>
      <c r="C228" s="101" t="s">
        <v>953</v>
      </c>
      <c r="D228" s="149"/>
      <c r="E228" s="31">
        <v>26968460</v>
      </c>
      <c r="F228" s="31">
        <v>10573375</v>
      </c>
      <c r="G228" s="202" t="s">
        <v>845</v>
      </c>
      <c r="H228" s="202" t="s">
        <v>845</v>
      </c>
      <c r="I228" s="202" t="s">
        <v>845</v>
      </c>
      <c r="J228" s="202" t="s">
        <v>845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823</v>
      </c>
      <c r="D230" s="149"/>
      <c r="E230" s="31">
        <v>51054012</v>
      </c>
      <c r="F230" s="31">
        <v>30993923</v>
      </c>
      <c r="G230" s="31"/>
      <c r="H230" s="31">
        <f>110363456-581327+54827406-1500000+10855289+2586849+585699</f>
        <v>177137372</v>
      </c>
      <c r="I230" s="31">
        <v>0</v>
      </c>
      <c r="J230" s="31">
        <f>E230+F230+G230+H230-I230</f>
        <v>259185307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957</v>
      </c>
      <c r="D232" s="149"/>
      <c r="E232" s="31">
        <f>SUM(E233:E237)</f>
        <v>60625111</v>
      </c>
      <c r="F232" s="31">
        <f>SUM(F233:F237)</f>
        <v>999882</v>
      </c>
      <c r="G232" s="31">
        <f>SUM(G233:G237)</f>
        <v>1436827</v>
      </c>
      <c r="H232" s="31">
        <v>800000</v>
      </c>
      <c r="I232" s="31">
        <f>SUM(I233:I237)</f>
        <v>0</v>
      </c>
      <c r="J232" s="31">
        <f>E232+F232+G232+H232-I232</f>
        <v>63861820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959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961</v>
      </c>
      <c r="D234" s="149"/>
      <c r="E234" s="31">
        <v>9692583</v>
      </c>
      <c r="F234" s="31">
        <v>761018</v>
      </c>
      <c r="G234" s="31">
        <v>1436827</v>
      </c>
      <c r="H234" s="31">
        <v>0</v>
      </c>
      <c r="I234" s="31"/>
      <c r="J234" s="31">
        <f>E234+F234+G234+H234</f>
        <v>11890428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963</v>
      </c>
      <c r="D235" s="149"/>
      <c r="E235" s="31">
        <v>180000</v>
      </c>
      <c r="F235" s="31">
        <v>24537</v>
      </c>
      <c r="G235" s="31">
        <v>0</v>
      </c>
      <c r="H235" s="31">
        <v>0</v>
      </c>
      <c r="I235" s="31"/>
      <c r="J235" s="31">
        <f>E235+F235+G235+H235</f>
        <v>204537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965</v>
      </c>
      <c r="D236" s="149"/>
      <c r="E236" s="31">
        <v>0</v>
      </c>
      <c r="F236" s="31">
        <v>201498</v>
      </c>
      <c r="G236" s="31">
        <v>0</v>
      </c>
      <c r="H236" s="31">
        <v>0</v>
      </c>
      <c r="I236" s="31"/>
      <c r="J236" s="31">
        <f>E236+F236+G236+H236</f>
        <v>201498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967</v>
      </c>
      <c r="D237" s="149"/>
      <c r="E237" s="31">
        <v>50752528</v>
      </c>
      <c r="F237" s="31">
        <v>12829</v>
      </c>
      <c r="G237" s="31">
        <v>0</v>
      </c>
      <c r="H237" s="31">
        <v>0</v>
      </c>
      <c r="I237" s="31"/>
      <c r="J237" s="31">
        <f>E237+F237+G237+H237</f>
        <v>50765357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969</v>
      </c>
      <c r="D239" s="149"/>
      <c r="E239" s="31">
        <f>SUM(E240:E244)</f>
        <v>30723789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30723789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971</v>
      </c>
      <c r="D240" s="149"/>
      <c r="E240" s="31">
        <v>2797607</v>
      </c>
      <c r="F240" s="31">
        <v>0</v>
      </c>
      <c r="G240" s="31">
        <v>0</v>
      </c>
      <c r="H240" s="31">
        <v>0</v>
      </c>
      <c r="I240" s="31"/>
      <c r="J240" s="31">
        <f>E240+F240+G240+H240</f>
        <v>2797607</v>
      </c>
      <c r="K240" s="103"/>
    </row>
    <row r="241" spans="1:11" x14ac:dyDescent="0.2">
      <c r="A241" s="99">
        <v>4041</v>
      </c>
      <c r="B241" s="100"/>
      <c r="C241" s="101" t="s">
        <v>973</v>
      </c>
      <c r="D241" s="149"/>
      <c r="E241" s="31">
        <v>10291</v>
      </c>
      <c r="F241" s="31">
        <v>0</v>
      </c>
      <c r="G241" s="31">
        <v>0</v>
      </c>
      <c r="H241" s="31">
        <v>0</v>
      </c>
      <c r="I241" s="31"/>
      <c r="J241" s="31">
        <f>E241+F241+G241+H241</f>
        <v>10291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975</v>
      </c>
      <c r="D242" s="149"/>
      <c r="E242" s="31">
        <v>1423722</v>
      </c>
      <c r="F242" s="31">
        <v>0</v>
      </c>
      <c r="G242" s="31">
        <v>0</v>
      </c>
      <c r="H242" s="31">
        <v>0</v>
      </c>
      <c r="I242" s="31"/>
      <c r="J242" s="31">
        <f>E242+F242+G242+H242</f>
        <v>1423722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977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834</v>
      </c>
      <c r="D244" s="149"/>
      <c r="E244" s="31">
        <v>26492169</v>
      </c>
      <c r="F244" s="31">
        <v>0</v>
      </c>
      <c r="G244" s="31">
        <v>0</v>
      </c>
      <c r="H244" s="31">
        <v>0</v>
      </c>
      <c r="I244" s="31"/>
      <c r="J244" s="31">
        <f>E244+F244+G244+H244</f>
        <v>26492169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979</v>
      </c>
      <c r="D246" s="149"/>
      <c r="E246" s="31">
        <f>+E247+E248+E249+E250</f>
        <v>17473940</v>
      </c>
      <c r="F246" s="31">
        <v>1612846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19086786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981</v>
      </c>
      <c r="D247" s="149"/>
      <c r="E247" s="31">
        <v>5000000</v>
      </c>
      <c r="F247" s="31"/>
      <c r="G247" s="31">
        <v>0</v>
      </c>
      <c r="H247" s="31">
        <v>0</v>
      </c>
      <c r="I247" s="31"/>
      <c r="J247" s="31">
        <f>E247+F247+G247+H247-I247</f>
        <v>5000000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983</v>
      </c>
      <c r="D248" s="149"/>
      <c r="E248" s="31">
        <v>7600000</v>
      </c>
      <c r="F248" s="31"/>
      <c r="G248" s="31">
        <v>0</v>
      </c>
      <c r="H248" s="31">
        <v>0</v>
      </c>
      <c r="I248" s="31"/>
      <c r="J248" s="31">
        <f>E248+F248+G248+H248-I248</f>
        <v>7600000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985</v>
      </c>
      <c r="D249" s="149"/>
      <c r="E249" s="31">
        <v>0</v>
      </c>
      <c r="F249" s="31"/>
      <c r="G249" s="31">
        <v>0</v>
      </c>
      <c r="H249" s="31">
        <v>0</v>
      </c>
      <c r="I249" s="31"/>
      <c r="J249" s="31">
        <f>E249+F249+G249+H249-I249</f>
        <v>0</v>
      </c>
      <c r="K249" s="103"/>
    </row>
    <row r="250" spans="1:11" x14ac:dyDescent="0.2">
      <c r="A250" s="99">
        <v>4093</v>
      </c>
      <c r="B250" s="100"/>
      <c r="C250" s="101" t="s">
        <v>875</v>
      </c>
      <c r="D250" s="149"/>
      <c r="E250" s="31">
        <v>4873940</v>
      </c>
      <c r="F250" s="31"/>
      <c r="G250" s="31"/>
      <c r="H250" s="31"/>
      <c r="I250" s="31"/>
      <c r="J250" s="31">
        <f>E250+F250+G250+H250-I250</f>
        <v>4873940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987</v>
      </c>
      <c r="D252" s="146"/>
      <c r="E252" s="32">
        <f>E255+E260+E271+E275+E285</f>
        <v>615262069</v>
      </c>
      <c r="F252" s="32">
        <f>F255+F260+F271+F275+F285</f>
        <v>63821788</v>
      </c>
      <c r="G252" s="32">
        <f>G255+G260+G271+G275+G285</f>
        <v>825342996</v>
      </c>
      <c r="H252" s="32">
        <f>H255+H260+H271+H275+H285</f>
        <v>49524262</v>
      </c>
      <c r="I252" s="32">
        <f>I255+I260+I271+I275+I285</f>
        <v>369269105</v>
      </c>
      <c r="J252" s="32">
        <f>E252+F252+G252+H252-I252</f>
        <v>1184682010</v>
      </c>
      <c r="K252" s="92" t="e">
        <f>J252/J$184*100</f>
        <v>#REF!</v>
      </c>
    </row>
    <row r="253" spans="1:11" x14ac:dyDescent="0.2">
      <c r="A253" s="147"/>
      <c r="B253" s="148"/>
      <c r="C253" s="96" t="s">
        <v>989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990</v>
      </c>
      <c r="D255" s="149"/>
      <c r="E255" s="31">
        <f>E256+E257+E258</f>
        <v>84990588</v>
      </c>
      <c r="F255" s="31">
        <f>F256+F257+F258</f>
        <v>4030081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89020669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992</v>
      </c>
      <c r="D256" s="149"/>
      <c r="E256" s="31">
        <v>14683780</v>
      </c>
      <c r="F256" s="31">
        <v>952422</v>
      </c>
      <c r="G256" s="31">
        <v>0</v>
      </c>
      <c r="H256" s="31">
        <v>0</v>
      </c>
      <c r="I256" s="31"/>
      <c r="J256" s="31">
        <f>E256+F256+G256+H256</f>
        <v>15636202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994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996</v>
      </c>
      <c r="D258" s="149"/>
      <c r="E258" s="31">
        <v>70306808</v>
      </c>
      <c r="F258" s="31">
        <v>3077659</v>
      </c>
      <c r="G258" s="31">
        <v>0</v>
      </c>
      <c r="H258" s="31">
        <v>0</v>
      </c>
      <c r="I258" s="31"/>
      <c r="J258" s="31">
        <f>E258+F258+G258+H258</f>
        <v>73384467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998</v>
      </c>
      <c r="D260" s="149"/>
      <c r="E260" s="31">
        <f>SUM(E261:E269)</f>
        <v>215843226</v>
      </c>
      <c r="F260" s="31">
        <f>SUM(F261:F269)</f>
        <v>37755797</v>
      </c>
      <c r="G260" s="31">
        <f>SUM(G261:G269)</f>
        <v>760438366</v>
      </c>
      <c r="H260" s="31">
        <f>SUM(H261:H269)</f>
        <v>44755948</v>
      </c>
      <c r="I260" s="31">
        <f>SUM(I261:I269)</f>
        <v>3549082</v>
      </c>
      <c r="J260" s="31">
        <f>E260+F260+G260+H260-I260</f>
        <v>1055244255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1000</v>
      </c>
      <c r="D261" s="149"/>
      <c r="E261" s="31">
        <v>23718936</v>
      </c>
      <c r="F261" s="31">
        <v>131736</v>
      </c>
      <c r="G261" s="31">
        <v>0</v>
      </c>
      <c r="H261" s="31"/>
      <c r="I261" s="429">
        <f>+F144+G140+H141</f>
        <v>3549082</v>
      </c>
      <c r="J261" s="109">
        <f>E261+F261+G261+H261-I261</f>
        <v>20301590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1002</v>
      </c>
      <c r="D262" s="149"/>
      <c r="E262" s="31">
        <v>102422021</v>
      </c>
      <c r="F262" s="31">
        <v>169171</v>
      </c>
      <c r="G262" s="31">
        <v>0</v>
      </c>
      <c r="H262" s="31"/>
      <c r="I262" s="31"/>
      <c r="J262" s="109">
        <f>E262+F262+G262+H262-I262</f>
        <v>102591192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1004</v>
      </c>
      <c r="D263" s="149"/>
      <c r="E263" s="31">
        <v>36358586</v>
      </c>
      <c r="F263" s="31">
        <v>618730</v>
      </c>
      <c r="G263" s="31">
        <v>38493825</v>
      </c>
      <c r="H263" s="31"/>
      <c r="I263" s="31"/>
      <c r="J263" s="31">
        <f>E263+F263+G263+H263</f>
        <v>75471141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1006</v>
      </c>
      <c r="D264" s="149"/>
      <c r="E264" s="31">
        <v>19582226</v>
      </c>
      <c r="F264" s="31">
        <v>8152</v>
      </c>
      <c r="G264" s="31">
        <v>0</v>
      </c>
      <c r="H264" s="31"/>
      <c r="I264" s="31"/>
      <c r="J264" s="31">
        <f>E264+F264+G264+H264</f>
        <v>19590378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1008</v>
      </c>
      <c r="D265" s="149"/>
      <c r="E265" s="31">
        <v>0</v>
      </c>
      <c r="F265" s="31">
        <v>0</v>
      </c>
      <c r="G265" s="31">
        <v>684211846</v>
      </c>
      <c r="H265" s="31"/>
      <c r="I265" s="31"/>
      <c r="J265" s="31">
        <f>E265+F265+G265+H265</f>
        <v>684211846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1010</v>
      </c>
      <c r="D266" s="149"/>
      <c r="E266" s="31">
        <v>0</v>
      </c>
      <c r="F266" s="31">
        <v>0</v>
      </c>
      <c r="G266" s="31">
        <v>37713813</v>
      </c>
      <c r="H266" s="31"/>
      <c r="I266" s="31"/>
      <c r="J266" s="31">
        <f>E266+F266+G266+H266</f>
        <v>37713813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1012</v>
      </c>
      <c r="D267" s="149"/>
      <c r="E267" s="31">
        <v>0</v>
      </c>
      <c r="F267" s="31">
        <v>0</v>
      </c>
      <c r="G267" s="31">
        <v>0</v>
      </c>
      <c r="H267" s="31">
        <v>41681598</v>
      </c>
      <c r="I267" s="31"/>
      <c r="J267" s="109">
        <f>E267+F267+G267+H267-I267</f>
        <v>41681598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1014</v>
      </c>
      <c r="D268" s="149"/>
      <c r="E268" s="31">
        <v>22801732</v>
      </c>
      <c r="F268" s="31">
        <v>235029</v>
      </c>
      <c r="G268" s="31">
        <v>4320</v>
      </c>
      <c r="H268" s="31"/>
      <c r="I268" s="31"/>
      <c r="J268" s="31">
        <f>E268+F268+G268+H268</f>
        <v>23041081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1016</v>
      </c>
      <c r="D269" s="149"/>
      <c r="E269" s="31">
        <v>10959725</v>
      </c>
      <c r="F269" s="31">
        <v>36592979</v>
      </c>
      <c r="G269" s="31">
        <v>14562</v>
      </c>
      <c r="H269" s="31">
        <v>3074350</v>
      </c>
      <c r="I269" s="31"/>
      <c r="J269" s="31">
        <f>E269+F269+G269+H269-I269</f>
        <v>50641616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10131746</v>
      </c>
      <c r="F271" s="31">
        <f>F273</f>
        <v>11128819</v>
      </c>
      <c r="G271" s="31">
        <f>G273</f>
        <v>816446</v>
      </c>
      <c r="H271" s="31">
        <f>H273</f>
        <v>1031271</v>
      </c>
      <c r="I271" s="31">
        <f>I273</f>
        <v>0</v>
      </c>
      <c r="J271" s="31">
        <f>E271+F271+G271+H271-I271</f>
        <v>23108282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10131746</v>
      </c>
      <c r="F273" s="31">
        <v>11128819</v>
      </c>
      <c r="G273" s="31">
        <v>816446</v>
      </c>
      <c r="H273" s="31">
        <v>1031271</v>
      </c>
      <c r="I273" s="31">
        <v>0</v>
      </c>
      <c r="J273" s="31">
        <f>E273+F273+G273+H273</f>
        <v>23108282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301526443</v>
      </c>
      <c r="F275" s="31">
        <f>+F277+F280+F281</f>
        <v>10907091</v>
      </c>
      <c r="G275" s="31">
        <f>+G277+G280+G281</f>
        <v>64088184</v>
      </c>
      <c r="H275" s="31">
        <f>+H277+H280+H281+H282</f>
        <v>751159</v>
      </c>
      <c r="I275" s="31">
        <f>+I277+I280+I281+I282</f>
        <v>365720023</v>
      </c>
      <c r="J275" s="31">
        <f>E275+F275+G275+H275-I275</f>
        <v>11552854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41317455</v>
      </c>
      <c r="F277" s="109">
        <v>5625607</v>
      </c>
      <c r="G277" s="109">
        <v>0</v>
      </c>
      <c r="H277" s="109">
        <v>0</v>
      </c>
      <c r="I277" s="429">
        <f>+F134+F135+F278</f>
        <v>44344912</v>
      </c>
      <c r="J277" s="109">
        <f>E277+F277+G277+H277-I277</f>
        <v>2598150</v>
      </c>
      <c r="K277" s="103"/>
    </row>
    <row r="278" spans="1:11" x14ac:dyDescent="0.2">
      <c r="A278" s="106">
        <v>413003</v>
      </c>
      <c r="B278" s="107"/>
      <c r="C278" s="108" t="s">
        <v>930</v>
      </c>
      <c r="D278" s="157"/>
      <c r="E278" s="113"/>
      <c r="F278" s="113">
        <v>2443952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254493534</v>
      </c>
      <c r="F280" s="109">
        <v>3378760</v>
      </c>
      <c r="G280" s="109">
        <v>64088184</v>
      </c>
      <c r="H280" s="109">
        <v>743931</v>
      </c>
      <c r="I280" s="429">
        <f>G134+G136+G137+G138+G144+H137+H139+H143+H144</f>
        <v>321271877</v>
      </c>
      <c r="J280" s="109">
        <f>E280+F280+G280+H280-I280</f>
        <v>1432532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5617374</v>
      </c>
      <c r="F281" s="109">
        <v>1902724</v>
      </c>
      <c r="G281" s="109">
        <v>0</v>
      </c>
      <c r="H281" s="109">
        <v>0</v>
      </c>
      <c r="I281" s="429">
        <v>0</v>
      </c>
      <c r="J281" s="109">
        <f>E281+F281+G281+H281-I281</f>
        <v>7520098</v>
      </c>
      <c r="K281" s="103"/>
    </row>
    <row r="282" spans="1:11" x14ac:dyDescent="0.2">
      <c r="A282" s="106">
        <v>4134</v>
      </c>
      <c r="B282" s="107"/>
      <c r="C282" s="108" t="s">
        <v>840</v>
      </c>
      <c r="D282" s="153"/>
      <c r="E282" s="109">
        <v>98080</v>
      </c>
      <c r="F282" s="109">
        <v>0</v>
      </c>
      <c r="G282" s="109">
        <v>0</v>
      </c>
      <c r="H282" s="109">
        <v>7228</v>
      </c>
      <c r="I282" s="428">
        <f>+E131</f>
        <v>103234</v>
      </c>
      <c r="J282" s="109">
        <f>E282+F282+G282+H282-I282</f>
        <v>2074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2770066</v>
      </c>
      <c r="F285" s="31">
        <v>0</v>
      </c>
      <c r="G285" s="31">
        <f>SUM(G286:G289)</f>
        <v>0</v>
      </c>
      <c r="H285" s="31">
        <f>SUM(H286:H289)</f>
        <v>2985884</v>
      </c>
      <c r="I285" s="31">
        <f>SUM(I286:I289)</f>
        <v>0</v>
      </c>
      <c r="J285" s="31">
        <f>E285+F285+G285+H285-I285</f>
        <v>5755950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168610</v>
      </c>
      <c r="F286" s="31">
        <v>0</v>
      </c>
      <c r="G286" s="31">
        <v>0</v>
      </c>
      <c r="H286" s="31"/>
      <c r="I286" s="31"/>
      <c r="J286" s="31">
        <f>E286+F286+G286+H286-I286</f>
        <v>168610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505996</v>
      </c>
      <c r="F287" s="31">
        <v>0</v>
      </c>
      <c r="G287" s="31">
        <v>0</v>
      </c>
      <c r="H287" s="31"/>
      <c r="I287" s="31"/>
      <c r="J287" s="31">
        <f>E287+F287+G287+H287-I287</f>
        <v>505996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282990</v>
      </c>
      <c r="F288" s="31">
        <v>0</v>
      </c>
      <c r="G288" s="31">
        <v>0</v>
      </c>
      <c r="H288" s="31">
        <v>2985884</v>
      </c>
      <c r="I288" s="31"/>
      <c r="J288" s="31">
        <f>E288+F288+G288+H288-I288</f>
        <v>3268874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1812470</v>
      </c>
      <c r="F289" s="31">
        <v>0</v>
      </c>
      <c r="G289" s="31">
        <v>0</v>
      </c>
      <c r="H289" s="31"/>
      <c r="I289" s="31"/>
      <c r="J289" s="31">
        <f>E289+F289+G289+H289-I289</f>
        <v>1812470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87411204</v>
      </c>
      <c r="F291" s="32">
        <f>F293</f>
        <v>87784397</v>
      </c>
      <c r="G291" s="32">
        <f>G293</f>
        <v>500000</v>
      </c>
      <c r="H291" s="32">
        <f>H293</f>
        <v>1043000</v>
      </c>
      <c r="I291" s="32">
        <f>I293</f>
        <v>0</v>
      </c>
      <c r="J291" s="32">
        <f>E291+F291+G291+H291-I291</f>
        <v>176738601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87411204</v>
      </c>
      <c r="F293" s="31">
        <f>SUM(F294:F303)</f>
        <v>87784397</v>
      </c>
      <c r="G293" s="31">
        <f>SUM(G294:G303)</f>
        <v>500000</v>
      </c>
      <c r="H293" s="31">
        <f>SUM(H294:H303)</f>
        <v>1043000</v>
      </c>
      <c r="I293" s="31">
        <f>SUM(I294:I303)</f>
        <v>0</v>
      </c>
      <c r="J293" s="31">
        <f t="shared" ref="J293:J303" si="17">E293+F293+G293+H293-I293</f>
        <v>176738601</v>
      </c>
      <c r="K293" s="103" t="e">
        <f t="shared" ref="K293:K303" si="18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1986835</v>
      </c>
      <c r="F294" s="31">
        <v>3183386</v>
      </c>
      <c r="G294" s="31">
        <v>0</v>
      </c>
      <c r="H294" s="31">
        <v>0</v>
      </c>
      <c r="I294" s="31"/>
      <c r="J294" s="31">
        <f t="shared" si="17"/>
        <v>5170221</v>
      </c>
      <c r="K294" s="103" t="e">
        <f t="shared" si="18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1724139</v>
      </c>
      <c r="F295" s="31">
        <v>346856</v>
      </c>
      <c r="G295" s="31">
        <v>0</v>
      </c>
      <c r="H295" s="31">
        <v>0</v>
      </c>
      <c r="I295" s="31"/>
      <c r="J295" s="31">
        <f t="shared" si="17"/>
        <v>2070995</v>
      </c>
      <c r="K295" s="103" t="e">
        <f t="shared" si="18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18258093</v>
      </c>
      <c r="F296" s="31">
        <v>3593779</v>
      </c>
      <c r="G296" s="31">
        <v>500000</v>
      </c>
      <c r="H296" s="31">
        <v>0</v>
      </c>
      <c r="I296" s="31"/>
      <c r="J296" s="31">
        <f t="shared" si="17"/>
        <v>22351872</v>
      </c>
      <c r="K296" s="103" t="e">
        <f t="shared" si="18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45808</v>
      </c>
      <c r="F297" s="31">
        <v>405401</v>
      </c>
      <c r="G297" s="31">
        <v>0</v>
      </c>
      <c r="H297" s="31">
        <v>0</v>
      </c>
      <c r="I297" s="31"/>
      <c r="J297" s="31">
        <f t="shared" si="17"/>
        <v>451209</v>
      </c>
      <c r="K297" s="103" t="e">
        <f t="shared" si="18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43376403</v>
      </c>
      <c r="F298" s="31">
        <v>52766172</v>
      </c>
      <c r="G298" s="31">
        <v>0</v>
      </c>
      <c r="H298" s="31">
        <v>0</v>
      </c>
      <c r="I298" s="31"/>
      <c r="J298" s="31">
        <f t="shared" si="17"/>
        <v>96142575</v>
      </c>
      <c r="K298" s="103" t="e">
        <f t="shared" si="18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11423075</v>
      </c>
      <c r="F299" s="31">
        <v>13926417</v>
      </c>
      <c r="G299" s="31">
        <v>0</v>
      </c>
      <c r="H299" s="31">
        <v>1043000</v>
      </c>
      <c r="I299" s="31"/>
      <c r="J299" s="31">
        <f t="shared" si="17"/>
        <v>26392492</v>
      </c>
      <c r="K299" s="103" t="e">
        <f t="shared" si="18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2051676</v>
      </c>
      <c r="F300" s="31">
        <v>6335485</v>
      </c>
      <c r="G300" s="31">
        <v>0</v>
      </c>
      <c r="H300" s="31">
        <v>0</v>
      </c>
      <c r="I300" s="31"/>
      <c r="J300" s="31">
        <f t="shared" si="17"/>
        <v>8387161</v>
      </c>
      <c r="K300" s="103" t="e">
        <f t="shared" si="18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351362</v>
      </c>
      <c r="F301" s="31">
        <v>36730</v>
      </c>
      <c r="G301" s="31">
        <v>0</v>
      </c>
      <c r="H301" s="31">
        <v>0</v>
      </c>
      <c r="I301" s="31"/>
      <c r="J301" s="31">
        <f t="shared" si="17"/>
        <v>388092</v>
      </c>
      <c r="K301" s="103" t="e">
        <f t="shared" si="18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8174311</v>
      </c>
      <c r="F302" s="31">
        <v>7190171</v>
      </c>
      <c r="G302" s="31">
        <v>0</v>
      </c>
      <c r="H302" s="31">
        <v>0</v>
      </c>
      <c r="I302" s="31"/>
      <c r="J302" s="31">
        <f t="shared" si="17"/>
        <v>15364482</v>
      </c>
      <c r="K302" s="103" t="e">
        <f t="shared" si="18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19502</v>
      </c>
      <c r="F303" s="31">
        <v>0</v>
      </c>
      <c r="G303" s="31">
        <v>0</v>
      </c>
      <c r="H303" s="31">
        <v>0</v>
      </c>
      <c r="I303" s="31"/>
      <c r="J303" s="31">
        <f t="shared" si="17"/>
        <v>19502</v>
      </c>
      <c r="K303" s="103" t="e">
        <f t="shared" si="18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84197796</v>
      </c>
      <c r="F305" s="32">
        <f>F307</f>
        <v>34294141</v>
      </c>
      <c r="G305" s="32">
        <f>G307</f>
        <v>0</v>
      </c>
      <c r="H305" s="32">
        <f>H307</f>
        <v>0</v>
      </c>
      <c r="I305" s="32">
        <f>I307</f>
        <v>16700933</v>
      </c>
      <c r="J305" s="32">
        <f>E305+F305+G305+H305-I305</f>
        <v>101791004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84197796</v>
      </c>
      <c r="F307" s="31">
        <f>SUM(F309:F317)</f>
        <v>34294141</v>
      </c>
      <c r="G307" s="31">
        <v>0</v>
      </c>
      <c r="H307" s="31">
        <f>SUM(H309:H317)</f>
        <v>0</v>
      </c>
      <c r="I307" s="31">
        <f>SUM(I309:I317)</f>
        <v>16700933</v>
      </c>
      <c r="J307" s="31">
        <f>E307+F307+G307+H307-I307</f>
        <v>101791004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16928041</v>
      </c>
      <c r="F309" s="109">
        <v>2282354</v>
      </c>
      <c r="G309" s="109">
        <v>0</v>
      </c>
      <c r="H309" s="109">
        <v>0</v>
      </c>
      <c r="I309" s="429">
        <f>F136+F143-F278</f>
        <v>16700933</v>
      </c>
      <c r="J309" s="109">
        <f>E309+F309+G309+H309-I309</f>
        <v>2509462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888642</v>
      </c>
      <c r="F310" s="31">
        <v>2703523</v>
      </c>
      <c r="G310" s="31">
        <v>0</v>
      </c>
      <c r="H310" s="31">
        <v>0</v>
      </c>
      <c r="I310" s="31"/>
      <c r="J310" s="31">
        <f t="shared" ref="J310:J317" si="19">E310+F310+G310+H310</f>
        <v>3592165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2733338</v>
      </c>
      <c r="F311" s="31">
        <v>1763846</v>
      </c>
      <c r="G311" s="31">
        <v>0</v>
      </c>
      <c r="H311" s="31">
        <v>0</v>
      </c>
      <c r="I311" s="31"/>
      <c r="J311" s="31">
        <f t="shared" si="19"/>
        <v>4497184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39077816</v>
      </c>
      <c r="F312" s="31">
        <v>13214201</v>
      </c>
      <c r="G312" s="31">
        <v>0</v>
      </c>
      <c r="H312" s="31">
        <v>0</v>
      </c>
      <c r="I312" s="31"/>
      <c r="J312" s="31">
        <f t="shared" si="19"/>
        <v>52292017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8318</v>
      </c>
      <c r="G313" s="31">
        <v>0</v>
      </c>
      <c r="H313" s="31">
        <v>0</v>
      </c>
      <c r="I313" s="31"/>
      <c r="J313" s="31">
        <f t="shared" si="19"/>
        <v>8318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11535536</v>
      </c>
      <c r="F314" s="31">
        <v>1023078</v>
      </c>
      <c r="G314" s="31">
        <v>0</v>
      </c>
      <c r="H314" s="31">
        <v>0</v>
      </c>
      <c r="I314" s="31"/>
      <c r="J314" s="31">
        <f t="shared" si="19"/>
        <v>12558614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5641298</v>
      </c>
      <c r="F315" s="31">
        <v>174422</v>
      </c>
      <c r="G315" s="31">
        <v>0</v>
      </c>
      <c r="H315" s="31">
        <v>0</v>
      </c>
      <c r="I315" s="31"/>
      <c r="J315" s="31">
        <f t="shared" si="19"/>
        <v>5815720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7365202</v>
      </c>
      <c r="F316" s="31">
        <v>13124399</v>
      </c>
      <c r="G316" s="31">
        <v>0</v>
      </c>
      <c r="H316" s="31">
        <v>0</v>
      </c>
      <c r="I316" s="31"/>
      <c r="J316" s="31">
        <f t="shared" si="19"/>
        <v>20489601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1">
        <v>27923</v>
      </c>
      <c r="F317" s="31">
        <v>0</v>
      </c>
      <c r="G317" s="31">
        <v>0</v>
      </c>
      <c r="H317" s="31">
        <v>0</v>
      </c>
      <c r="I317" s="31"/>
      <c r="J317" s="31">
        <f t="shared" si="19"/>
        <v>27923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913</v>
      </c>
      <c r="D319" s="146"/>
      <c r="E319" s="32">
        <f>+E321</f>
        <v>47037300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47037300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914</v>
      </c>
      <c r="D321" s="424"/>
      <c r="E321" s="383">
        <f>+E322+E327+E330+E333</f>
        <v>47037300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47037300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915</v>
      </c>
      <c r="D322" s="424"/>
      <c r="E322" s="383">
        <f>+E323+E324+E325</f>
        <v>5590200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5590200</v>
      </c>
      <c r="K322" s="425"/>
    </row>
    <row r="323" spans="1:11" x14ac:dyDescent="0.2">
      <c r="A323" s="204">
        <v>450000</v>
      </c>
      <c r="B323" s="205"/>
      <c r="C323" s="206" t="s">
        <v>916</v>
      </c>
      <c r="D323" s="424"/>
      <c r="E323" s="383">
        <v>5590200</v>
      </c>
      <c r="F323" s="383"/>
      <c r="G323" s="383"/>
      <c r="H323" s="383"/>
      <c r="I323" s="383"/>
      <c r="J323" s="383">
        <f>+E323+F323+G323+H323-I323</f>
        <v>5590200</v>
      </c>
      <c r="K323" s="425"/>
    </row>
    <row r="324" spans="1:11" x14ac:dyDescent="0.2">
      <c r="A324" s="204">
        <v>450001</v>
      </c>
      <c r="B324" s="205"/>
      <c r="C324" s="206" t="s">
        <v>917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918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919</v>
      </c>
      <c r="D327" s="424"/>
      <c r="E327" s="383">
        <f>+E328</f>
        <v>6642800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6642800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920</v>
      </c>
      <c r="D328" s="424"/>
      <c r="E328" s="383">
        <v>6642800</v>
      </c>
      <c r="F328" s="383"/>
      <c r="G328" s="383"/>
      <c r="H328" s="383"/>
      <c r="I328" s="383"/>
      <c r="J328" s="383">
        <f>+E328+F328+G328+H328-I328</f>
        <v>6642800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921</v>
      </c>
      <c r="D330" s="424"/>
      <c r="E330" s="383">
        <f>+E331</f>
        <v>31342600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31342600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922</v>
      </c>
      <c r="D331" s="424"/>
      <c r="E331" s="383">
        <v>31342600</v>
      </c>
      <c r="F331" s="383"/>
      <c r="G331" s="383"/>
      <c r="H331" s="383"/>
      <c r="I331" s="383"/>
      <c r="J331" s="383">
        <f>+E331+F331+G331+H331-I331</f>
        <v>31342600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923</v>
      </c>
      <c r="D333" s="424"/>
      <c r="E333" s="383">
        <f>+E334</f>
        <v>3461700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3461700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924</v>
      </c>
      <c r="D334" s="424"/>
      <c r="E334" s="383">
        <v>3461700</v>
      </c>
      <c r="F334" s="383"/>
      <c r="G334" s="383"/>
      <c r="H334" s="383"/>
      <c r="I334" s="383"/>
      <c r="J334" s="383">
        <f>+E334+F334+G334+H334-I334</f>
        <v>3461700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828</v>
      </c>
      <c r="D338" s="142"/>
      <c r="E338" s="73">
        <f t="shared" ref="E338:J338" si="21">E22-E187</f>
        <v>-148974792</v>
      </c>
      <c r="F338" s="73">
        <f t="shared" si="21"/>
        <v>-3199044</v>
      </c>
      <c r="G338" s="73">
        <f t="shared" si="21"/>
        <v>3975001</v>
      </c>
      <c r="H338" s="73">
        <f t="shared" si="21"/>
        <v>-10673889</v>
      </c>
      <c r="I338" s="73">
        <f t="shared" si="21"/>
        <v>0</v>
      </c>
      <c r="J338" s="167">
        <f t="shared" si="21"/>
        <v>-158872724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829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2">(E22-E81)-(E187-E232-E239)</f>
        <v>-65775525</v>
      </c>
      <c r="F344" s="73">
        <f t="shared" si="22"/>
        <v>-4279400</v>
      </c>
      <c r="G344" s="73">
        <f t="shared" si="22"/>
        <v>5219458</v>
      </c>
      <c r="H344" s="73">
        <f t="shared" si="22"/>
        <v>-9933223</v>
      </c>
      <c r="I344" s="73">
        <f t="shared" si="22"/>
        <v>0</v>
      </c>
      <c r="J344" s="73">
        <f t="shared" si="22"/>
        <v>-74768690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3">E25-(E190+E252)</f>
        <v>-227905</v>
      </c>
      <c r="F349" s="73">
        <f t="shared" si="23"/>
        <v>41952423</v>
      </c>
      <c r="G349" s="73">
        <f t="shared" si="23"/>
        <v>-252572887</v>
      </c>
      <c r="H349" s="73">
        <f t="shared" si="23"/>
        <v>-83841951</v>
      </c>
      <c r="I349" s="73">
        <f t="shared" si="23"/>
        <v>-369269105</v>
      </c>
      <c r="J349" s="73">
        <f t="shared" si="23"/>
        <v>74578785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841</v>
      </c>
      <c r="C356" s="239" t="s">
        <v>842</v>
      </c>
      <c r="D356" s="239" t="s">
        <v>843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208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209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210</v>
      </c>
      <c r="J361" s="282" t="s">
        <v>211</v>
      </c>
      <c r="K361" s="277" t="s">
        <v>212</v>
      </c>
    </row>
    <row r="362" spans="1:11" ht="15.75" x14ac:dyDescent="0.25">
      <c r="A362" s="329" t="s">
        <v>213</v>
      </c>
      <c r="B362" s="242"/>
      <c r="C362" s="345"/>
      <c r="D362" s="374"/>
      <c r="E362" s="283" t="s">
        <v>214</v>
      </c>
      <c r="F362" s="284" t="s">
        <v>215</v>
      </c>
      <c r="G362" s="288" t="s">
        <v>216</v>
      </c>
      <c r="H362" s="289" t="s">
        <v>217</v>
      </c>
      <c r="I362" s="285" t="s">
        <v>218</v>
      </c>
      <c r="J362" s="285" t="s">
        <v>219</v>
      </c>
      <c r="K362" s="277" t="s">
        <v>220</v>
      </c>
    </row>
    <row r="363" spans="1:11" ht="15.75" x14ac:dyDescent="0.25">
      <c r="A363" s="307"/>
      <c r="B363" s="242"/>
      <c r="C363" s="345"/>
      <c r="D363" s="374"/>
      <c r="E363" s="283" t="s">
        <v>221</v>
      </c>
      <c r="F363" s="284" t="s">
        <v>222</v>
      </c>
      <c r="G363" s="288"/>
      <c r="H363" s="289"/>
      <c r="I363" s="294" t="s">
        <v>223</v>
      </c>
      <c r="J363" s="285" t="s">
        <v>224</v>
      </c>
      <c r="K363" s="277" t="s">
        <v>225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226</v>
      </c>
      <c r="J364" s="286"/>
      <c r="K364" s="287" t="s">
        <v>228</v>
      </c>
    </row>
    <row r="365" spans="1:11" ht="15.75" thickTop="1" x14ac:dyDescent="0.2">
      <c r="A365" s="57"/>
      <c r="B365" s="58"/>
      <c r="C365" s="59"/>
      <c r="D365" s="60"/>
      <c r="E365" s="260" t="s">
        <v>229</v>
      </c>
      <c r="F365" s="260" t="s">
        <v>230</v>
      </c>
      <c r="G365" s="260" t="s">
        <v>231</v>
      </c>
      <c r="H365" s="260" t="s">
        <v>232</v>
      </c>
      <c r="I365" s="260" t="s">
        <v>233</v>
      </c>
      <c r="J365" s="260" t="s">
        <v>234</v>
      </c>
      <c r="K365" s="272"/>
    </row>
    <row r="366" spans="1:11" ht="15.75" x14ac:dyDescent="0.25">
      <c r="A366" s="190"/>
      <c r="B366" s="191" t="s">
        <v>100</v>
      </c>
      <c r="C366" s="192" t="s">
        <v>674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676</v>
      </c>
      <c r="D367" s="193"/>
      <c r="E367" s="194">
        <f t="shared" ref="E367:J367" si="24">E369+E379+E384</f>
        <v>9380028</v>
      </c>
      <c r="F367" s="194">
        <f t="shared" si="24"/>
        <v>3179024</v>
      </c>
      <c r="G367" s="194">
        <f t="shared" si="24"/>
        <v>70440</v>
      </c>
      <c r="H367" s="194">
        <f t="shared" si="24"/>
        <v>0</v>
      </c>
      <c r="I367" s="194">
        <f t="shared" si="24"/>
        <v>0</v>
      </c>
      <c r="J367" s="196">
        <f t="shared" si="24"/>
        <v>12629492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3" x14ac:dyDescent="0.2">
      <c r="A369" s="99">
        <v>750</v>
      </c>
      <c r="B369" s="100"/>
      <c r="C369" s="101" t="s">
        <v>678</v>
      </c>
      <c r="D369" s="149"/>
      <c r="E369" s="31">
        <f>SUM(E370:E377)</f>
        <v>9380028</v>
      </c>
      <c r="F369" s="31">
        <v>1684376</v>
      </c>
      <c r="G369" s="31">
        <f>SUM(G370:G377)</f>
        <v>70440</v>
      </c>
      <c r="H369" s="31">
        <f>SUM(H370:H377)</f>
        <v>0</v>
      </c>
      <c r="I369" s="31">
        <f>SUM(I370:I377)</f>
        <v>0</v>
      </c>
      <c r="J369" s="31">
        <f>+E369+F369+G369+H369-I369</f>
        <v>11134844</v>
      </c>
      <c r="K369" s="103" t="e">
        <f t="shared" ref="K369:K377" si="25">J369/J$184*100</f>
        <v>#REF!</v>
      </c>
    </row>
    <row r="370" spans="1:13" x14ac:dyDescent="0.2">
      <c r="A370" s="99">
        <v>7500</v>
      </c>
      <c r="B370" s="100"/>
      <c r="C370" s="101" t="s">
        <v>680</v>
      </c>
      <c r="D370" s="149"/>
      <c r="E370" s="31">
        <v>0</v>
      </c>
      <c r="F370" s="31"/>
      <c r="G370" s="31">
        <v>70440</v>
      </c>
      <c r="H370" s="31">
        <v>0</v>
      </c>
      <c r="I370" s="31"/>
      <c r="J370" s="31">
        <f t="shared" ref="J370:J376" si="26">E370+F370+G370+H370-I370</f>
        <v>70440</v>
      </c>
      <c r="K370" s="103" t="e">
        <f t="shared" si="25"/>
        <v>#REF!</v>
      </c>
    </row>
    <row r="371" spans="1:13" x14ac:dyDescent="0.2">
      <c r="A371" s="99">
        <v>7501</v>
      </c>
      <c r="B371" s="100"/>
      <c r="C371" s="101" t="s">
        <v>876</v>
      </c>
      <c r="D371" s="149"/>
      <c r="E371" s="31">
        <v>0</v>
      </c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3" x14ac:dyDescent="0.2">
      <c r="A372" s="99">
        <v>7502</v>
      </c>
      <c r="B372" s="100"/>
      <c r="C372" s="101" t="s">
        <v>682</v>
      </c>
      <c r="D372" s="149"/>
      <c r="E372" s="31">
        <v>181829</v>
      </c>
      <c r="F372" s="31"/>
      <c r="G372" s="31">
        <v>0</v>
      </c>
      <c r="H372" s="31">
        <v>0</v>
      </c>
      <c r="I372" s="31"/>
      <c r="J372" s="31">
        <f t="shared" si="26"/>
        <v>181829</v>
      </c>
      <c r="K372" s="103" t="e">
        <f t="shared" si="25"/>
        <v>#REF!</v>
      </c>
    </row>
    <row r="373" spans="1:13" x14ac:dyDescent="0.2">
      <c r="A373" s="99">
        <v>7503</v>
      </c>
      <c r="B373" s="100"/>
      <c r="C373" s="101" t="s">
        <v>877</v>
      </c>
      <c r="D373" s="149"/>
      <c r="E373" s="31">
        <v>8257355</v>
      </c>
      <c r="F373" s="31"/>
      <c r="G373" s="31">
        <v>0</v>
      </c>
      <c r="H373" s="31">
        <v>0</v>
      </c>
      <c r="I373" s="31"/>
      <c r="J373" s="31">
        <f t="shared" si="26"/>
        <v>8257355</v>
      </c>
      <c r="K373" s="103" t="e">
        <f t="shared" si="25"/>
        <v>#REF!</v>
      </c>
    </row>
    <row r="374" spans="1:13" s="423" customFormat="1" x14ac:dyDescent="0.2">
      <c r="A374" s="99">
        <v>7504</v>
      </c>
      <c r="B374" s="100"/>
      <c r="C374" s="101" t="s">
        <v>686</v>
      </c>
      <c r="D374" s="149"/>
      <c r="E374" s="31">
        <v>940844</v>
      </c>
      <c r="F374" s="31"/>
      <c r="G374" s="31">
        <v>0</v>
      </c>
      <c r="H374" s="31">
        <v>0</v>
      </c>
      <c r="I374" s="31"/>
      <c r="J374" s="31">
        <f t="shared" si="26"/>
        <v>940844</v>
      </c>
      <c r="K374" s="103" t="e">
        <f t="shared" si="25"/>
        <v>#REF!</v>
      </c>
      <c r="M374" s="434"/>
    </row>
    <row r="375" spans="1:13" s="423" customFormat="1" x14ac:dyDescent="0.2">
      <c r="A375" s="99">
        <v>7505</v>
      </c>
      <c r="B375" s="100"/>
      <c r="C375" s="101" t="s">
        <v>688</v>
      </c>
      <c r="D375" s="149"/>
      <c r="E375" s="31">
        <v>0</v>
      </c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  <c r="M375" s="434"/>
    </row>
    <row r="376" spans="1:13" x14ac:dyDescent="0.2">
      <c r="A376" s="99">
        <v>7506</v>
      </c>
      <c r="B376" s="100"/>
      <c r="C376" s="101" t="s">
        <v>692</v>
      </c>
      <c r="D376" s="149"/>
      <c r="E376" s="31">
        <v>0</v>
      </c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3" x14ac:dyDescent="0.2">
      <c r="A377" s="99">
        <v>7507</v>
      </c>
      <c r="B377" s="100"/>
      <c r="C377" s="101" t="s">
        <v>690</v>
      </c>
      <c r="D377" s="149"/>
      <c r="E377" s="31">
        <v>0</v>
      </c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3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3" x14ac:dyDescent="0.2">
      <c r="A379" s="99">
        <v>751</v>
      </c>
      <c r="B379" s="100"/>
      <c r="C379" s="101" t="s">
        <v>676</v>
      </c>
      <c r="D379" s="149"/>
      <c r="E379" s="31">
        <f>SUM(E380:E382)</f>
        <v>0</v>
      </c>
      <c r="F379" s="31">
        <v>1145471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1145471</v>
      </c>
      <c r="K379" s="103" t="e">
        <f>J379/J$184*100</f>
        <v>#REF!</v>
      </c>
    </row>
    <row r="380" spans="1:13" x14ac:dyDescent="0.2">
      <c r="A380" s="99">
        <v>7510</v>
      </c>
      <c r="B380" s="100"/>
      <c r="C380" s="101" t="s">
        <v>694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3" x14ac:dyDescent="0.2">
      <c r="A381" s="99">
        <v>7511</v>
      </c>
      <c r="B381" s="100"/>
      <c r="C381" s="101" t="s">
        <v>696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3" x14ac:dyDescent="0.2">
      <c r="A382" s="99">
        <v>7512</v>
      </c>
      <c r="B382" s="100"/>
      <c r="C382" s="101" t="s">
        <v>698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3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3" x14ac:dyDescent="0.2">
      <c r="A384" s="99">
        <v>752</v>
      </c>
      <c r="B384" s="100"/>
      <c r="C384" s="101" t="s">
        <v>700</v>
      </c>
      <c r="D384" s="149"/>
      <c r="E384" s="31">
        <f>E385</f>
        <v>0</v>
      </c>
      <c r="F384" s="31">
        <f>F385</f>
        <v>349177</v>
      </c>
      <c r="G384" s="31">
        <f>G385</f>
        <v>0</v>
      </c>
      <c r="H384" s="31">
        <f>H385</f>
        <v>0</v>
      </c>
      <c r="I384" s="31">
        <f>I385</f>
        <v>0</v>
      </c>
      <c r="J384" s="31">
        <f>E384+F384+G384+H384</f>
        <v>349177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349177</v>
      </c>
      <c r="G385" s="31">
        <v>0</v>
      </c>
      <c r="H385" s="31">
        <v>0</v>
      </c>
      <c r="I385" s="31">
        <v>0</v>
      </c>
      <c r="J385" s="31">
        <f>E385+F385+G385+H385-I385</f>
        <v>349177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7">E391+E400+E408+E413</f>
        <v>8313577</v>
      </c>
      <c r="F389" s="73">
        <f t="shared" si="27"/>
        <v>1262724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9576301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2533628</v>
      </c>
      <c r="F391" s="31">
        <v>891174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3424802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>
        <v>4000</v>
      </c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4000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>
        <v>0</v>
      </c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>
        <v>0</v>
      </c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>
        <v>0</v>
      </c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2529628</v>
      </c>
      <c r="F396" s="31"/>
      <c r="G396" s="31">
        <v>0</v>
      </c>
      <c r="H396" s="31">
        <v>0</v>
      </c>
      <c r="I396" s="31">
        <v>0</v>
      </c>
      <c r="J396" s="31">
        <f t="shared" si="29"/>
        <v>2529628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>
        <v>0</v>
      </c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>
        <v>0</v>
      </c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4279949</v>
      </c>
      <c r="F400" s="31">
        <v>360053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4640002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701</v>
      </c>
      <c r="D401" s="149"/>
      <c r="E401" s="31">
        <v>200000</v>
      </c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200000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703</v>
      </c>
      <c r="D402" s="149"/>
      <c r="E402" s="31">
        <v>0</v>
      </c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705</v>
      </c>
      <c r="D403" s="149"/>
      <c r="E403" s="31">
        <v>45000</v>
      </c>
      <c r="F403" s="31"/>
      <c r="G403" s="31">
        <v>0</v>
      </c>
      <c r="H403" s="31">
        <v>0</v>
      </c>
      <c r="I403" s="31">
        <v>0</v>
      </c>
      <c r="J403" s="31">
        <f t="shared" si="31"/>
        <v>45000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707</v>
      </c>
      <c r="D404" s="149"/>
      <c r="E404" s="31">
        <v>0</v>
      </c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709</v>
      </c>
      <c r="D405" s="149"/>
      <c r="E405" s="31">
        <v>4034949</v>
      </c>
      <c r="F405" s="31"/>
      <c r="G405" s="31">
        <v>0</v>
      </c>
      <c r="H405" s="31">
        <v>0</v>
      </c>
      <c r="I405" s="31">
        <v>0</v>
      </c>
      <c r="J405" s="31">
        <f t="shared" si="31"/>
        <v>4034949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835</v>
      </c>
      <c r="D406" s="149"/>
      <c r="E406" s="31">
        <v>0</v>
      </c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711</v>
      </c>
      <c r="D408" s="149"/>
      <c r="E408" s="31">
        <f>SUM(E409:E411)</f>
        <v>0</v>
      </c>
      <c r="F408" s="31">
        <v>11497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11497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713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715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824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878</v>
      </c>
      <c r="D413" s="424"/>
      <c r="E413" s="383">
        <f>+E414</f>
        <v>1500000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1">
        <f>+E413+F413+G413+H413-I413</f>
        <v>1500000</v>
      </c>
      <c r="K413" s="425"/>
    </row>
    <row r="414" spans="1:11" x14ac:dyDescent="0.2">
      <c r="A414" s="204">
        <v>4430</v>
      </c>
      <c r="B414" s="205"/>
      <c r="C414" s="206" t="s">
        <v>879</v>
      </c>
      <c r="D414" s="424"/>
      <c r="E414" s="383">
        <v>1500000</v>
      </c>
      <c r="F414" s="383"/>
      <c r="G414" s="383"/>
      <c r="H414" s="383"/>
      <c r="I414" s="383"/>
      <c r="J414" s="383">
        <f>+E414+F414+G414+H414+-I414</f>
        <v>1500000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717</v>
      </c>
      <c r="C417" s="77" t="s">
        <v>718</v>
      </c>
      <c r="D417" s="142"/>
      <c r="E417" s="73">
        <f t="shared" ref="E417:J417" si="32">E367-E389</f>
        <v>1066451</v>
      </c>
      <c r="F417" s="73">
        <f t="shared" si="32"/>
        <v>1916300</v>
      </c>
      <c r="G417" s="73">
        <f t="shared" si="32"/>
        <v>70440</v>
      </c>
      <c r="H417" s="73">
        <f t="shared" si="32"/>
        <v>0</v>
      </c>
      <c r="I417" s="73">
        <f t="shared" si="32"/>
        <v>0</v>
      </c>
      <c r="J417" s="199">
        <f t="shared" si="32"/>
        <v>3053191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719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721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791</v>
      </c>
      <c r="C424" s="239" t="s">
        <v>792</v>
      </c>
      <c r="D424" s="262" t="s">
        <v>844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208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209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210</v>
      </c>
      <c r="J429" s="282" t="s">
        <v>211</v>
      </c>
      <c r="K429" s="277" t="s">
        <v>212</v>
      </c>
    </row>
    <row r="430" spans="1:11" ht="15.75" x14ac:dyDescent="0.25">
      <c r="A430" s="329" t="s">
        <v>213</v>
      </c>
      <c r="B430" s="242"/>
      <c r="C430" s="345"/>
      <c r="D430" s="374"/>
      <c r="E430" s="283" t="s">
        <v>214</v>
      </c>
      <c r="F430" s="284" t="s">
        <v>215</v>
      </c>
      <c r="G430" s="288" t="s">
        <v>216</v>
      </c>
      <c r="H430" s="289" t="s">
        <v>217</v>
      </c>
      <c r="I430" s="285" t="s">
        <v>218</v>
      </c>
      <c r="J430" s="285" t="s">
        <v>219</v>
      </c>
      <c r="K430" s="277" t="s">
        <v>220</v>
      </c>
    </row>
    <row r="431" spans="1:11" ht="15.75" x14ac:dyDescent="0.25">
      <c r="A431" s="307"/>
      <c r="B431" s="242"/>
      <c r="C431" s="345"/>
      <c r="D431" s="374"/>
      <c r="E431" s="283" t="s">
        <v>221</v>
      </c>
      <c r="F431" s="284" t="s">
        <v>222</v>
      </c>
      <c r="G431" s="288"/>
      <c r="H431" s="289"/>
      <c r="I431" s="294" t="s">
        <v>223</v>
      </c>
      <c r="J431" s="285" t="s">
        <v>224</v>
      </c>
      <c r="K431" s="277" t="s">
        <v>225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226</v>
      </c>
      <c r="J432" s="286"/>
      <c r="K432" s="287" t="s">
        <v>228</v>
      </c>
    </row>
    <row r="433" spans="1:11" ht="15.75" thickTop="1" x14ac:dyDescent="0.2">
      <c r="A433" s="57"/>
      <c r="B433" s="58"/>
      <c r="C433" s="59"/>
      <c r="D433" s="60"/>
      <c r="E433" s="260" t="s">
        <v>229</v>
      </c>
      <c r="F433" s="260" t="s">
        <v>230</v>
      </c>
      <c r="G433" s="260" t="s">
        <v>231</v>
      </c>
      <c r="H433" s="260" t="s">
        <v>232</v>
      </c>
      <c r="I433" s="260" t="s">
        <v>233</v>
      </c>
      <c r="J433" s="260" t="s">
        <v>234</v>
      </c>
      <c r="K433" s="272"/>
    </row>
    <row r="434" spans="1:11" ht="15.75" x14ac:dyDescent="0.25">
      <c r="A434" s="69"/>
      <c r="B434" s="70" t="s">
        <v>830</v>
      </c>
      <c r="C434" s="77" t="s">
        <v>730</v>
      </c>
      <c r="D434" s="142"/>
      <c r="E434" s="73">
        <f>+E436+E445</f>
        <v>358171644</v>
      </c>
      <c r="F434" s="73">
        <f>F436+F445</f>
        <v>3777389</v>
      </c>
      <c r="G434" s="73">
        <f>G436+G445</f>
        <v>0</v>
      </c>
      <c r="H434" s="73">
        <f>H436+H445</f>
        <v>10673889</v>
      </c>
      <c r="I434" s="73">
        <v>0</v>
      </c>
      <c r="J434" s="199">
        <f>E434+F434+G434+H434</f>
        <v>372622922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732</v>
      </c>
      <c r="D436" s="149"/>
      <c r="E436" s="259">
        <v>358171644</v>
      </c>
      <c r="F436" s="259">
        <v>3777389</v>
      </c>
      <c r="G436" s="259">
        <f>+G438+G439+G440+G441+G443</f>
        <v>0</v>
      </c>
      <c r="H436" s="259">
        <f>+H438+H439+H440+H441+H443</f>
        <v>10673889</v>
      </c>
      <c r="I436" s="259">
        <f>+I438+I439+I440+I441+I443</f>
        <v>0</v>
      </c>
      <c r="J436" s="259">
        <f>+E436+F436+G436+H436-I436</f>
        <v>372622922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734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736</v>
      </c>
      <c r="D439" s="149"/>
      <c r="E439" s="202"/>
      <c r="F439" s="202"/>
      <c r="G439" s="202"/>
      <c r="H439" s="202">
        <v>10673889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738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740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742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744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746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748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750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752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754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744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757</v>
      </c>
      <c r="C454" s="77" t="s">
        <v>758</v>
      </c>
      <c r="D454" s="142"/>
      <c r="E454" s="73">
        <f t="shared" ref="E454:J454" si="33">E456+E466</f>
        <v>189593580</v>
      </c>
      <c r="F454" s="73">
        <f t="shared" si="33"/>
        <v>2502582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197905912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760</v>
      </c>
      <c r="D456" s="149"/>
      <c r="E456" s="31">
        <f>+E458+E459+E460+E461+E463+E464</f>
        <v>129380329</v>
      </c>
      <c r="F456" s="31">
        <v>2502582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137692661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762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764</v>
      </c>
      <c r="D459" s="149"/>
      <c r="E459" s="31">
        <v>22809008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28618758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766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772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831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802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775</v>
      </c>
      <c r="D464" s="149"/>
      <c r="E464" s="31">
        <v>106571321</v>
      </c>
      <c r="F464" s="31"/>
      <c r="G464" s="31">
        <v>0</v>
      </c>
      <c r="H464" s="31">
        <v>0</v>
      </c>
      <c r="I464" s="31">
        <v>0</v>
      </c>
      <c r="J464" s="31">
        <f>E464+F464+G464+H464</f>
        <v>106571321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777</v>
      </c>
      <c r="D466" s="149"/>
      <c r="E466" s="31">
        <f>SUM(E468:E472)</f>
        <v>60213251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60213251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779</v>
      </c>
      <c r="D468" s="149"/>
      <c r="E468" s="31">
        <v>7238267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7238267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781</v>
      </c>
      <c r="D469" s="149"/>
      <c r="E469" s="31">
        <v>686035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686035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783</v>
      </c>
      <c r="D470" s="149"/>
      <c r="E470" s="31">
        <v>1629428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1629428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785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836</v>
      </c>
      <c r="D472" s="149"/>
      <c r="E472" s="31">
        <v>50659521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50659521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803</v>
      </c>
      <c r="C474" s="213" t="s">
        <v>789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804</v>
      </c>
      <c r="D475" s="220"/>
      <c r="E475" s="221">
        <f t="shared" ref="E475:J475" si="34">E22+E367+E434-E187-E389-E454</f>
        <v>20669723</v>
      </c>
      <c r="F475" s="221">
        <f t="shared" si="34"/>
        <v>-7937</v>
      </c>
      <c r="G475" s="221">
        <f t="shared" si="34"/>
        <v>-1764309</v>
      </c>
      <c r="H475" s="221">
        <f t="shared" si="34"/>
        <v>0</v>
      </c>
      <c r="I475" s="221">
        <f t="shared" si="34"/>
        <v>0</v>
      </c>
      <c r="J475" s="222">
        <f t="shared" si="34"/>
        <v>18897477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787</v>
      </c>
      <c r="C477" s="228" t="s">
        <v>805</v>
      </c>
      <c r="D477" s="229"/>
      <c r="E477" s="230">
        <f t="shared" ref="E477:J477" si="35">E417+E434-E454-E475</f>
        <v>148974792</v>
      </c>
      <c r="F477" s="230">
        <f t="shared" si="35"/>
        <v>3199044</v>
      </c>
      <c r="G477" s="230">
        <f t="shared" si="35"/>
        <v>-3975001</v>
      </c>
      <c r="H477" s="230">
        <f t="shared" si="35"/>
        <v>10673889</v>
      </c>
      <c r="I477" s="230">
        <f t="shared" si="35"/>
        <v>0</v>
      </c>
      <c r="J477" s="231">
        <f t="shared" si="35"/>
        <v>158872724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phoneticPr fontId="0" type="noConversion"/>
  <pageMargins left="0.38" right="0.31" top="0.49" bottom="0.65" header="0.38" footer="0.5"/>
  <pageSetup paperSize="9" scale="56" fitToHeight="0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N478"/>
  <sheetViews>
    <sheetView zoomScale="60" workbookViewId="0">
      <selection activeCell="I312" sqref="I312"/>
    </sheetView>
  </sheetViews>
  <sheetFormatPr defaultRowHeight="15" x14ac:dyDescent="0.2"/>
  <cols>
    <col min="1" max="1" width="8.5546875" style="233" customWidth="1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927</v>
      </c>
      <c r="B4" s="236"/>
      <c r="C4" s="236"/>
      <c r="D4" s="236"/>
      <c r="E4" s="236"/>
      <c r="F4" s="236"/>
      <c r="G4" s="236"/>
      <c r="H4" s="236"/>
      <c r="I4" s="586" t="s">
        <v>926</v>
      </c>
      <c r="J4" s="587"/>
      <c r="K4" s="588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E25+E100+E118+E129+E147+3</f>
        <v>1579690737</v>
      </c>
      <c r="F22" s="73">
        <f>F25+F100+F118+F129+F147+2</f>
        <v>330557748</v>
      </c>
      <c r="G22" s="73">
        <f>G25+G100+G118+G129+G147+2</f>
        <v>895917596</v>
      </c>
      <c r="H22" s="73">
        <f>H25+H100+H118+H129+H147</f>
        <v>503477258</v>
      </c>
      <c r="I22" s="73">
        <f>I25+I100+I118+I129+I147</f>
        <v>528825337</v>
      </c>
      <c r="J22" s="75">
        <f>E22+F22+G22+H22-I22</f>
        <v>2780818002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1490748721</v>
      </c>
      <c r="F25" s="32">
        <f t="shared" si="0"/>
        <v>243997660</v>
      </c>
      <c r="G25" s="32">
        <f t="shared" si="0"/>
        <v>625825014</v>
      </c>
      <c r="H25" s="32">
        <f t="shared" si="0"/>
        <v>424384080</v>
      </c>
      <c r="I25" s="32">
        <f t="shared" si="0"/>
        <v>115750910</v>
      </c>
      <c r="J25" s="32">
        <f t="shared" si="0"/>
        <v>2669204565</v>
      </c>
      <c r="K25" s="92" t="e">
        <f>J25/J$184*100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1408733930</v>
      </c>
      <c r="F28" s="32">
        <f t="shared" si="1"/>
        <v>198083170</v>
      </c>
      <c r="G28" s="32">
        <f t="shared" si="1"/>
        <v>619382483</v>
      </c>
      <c r="H28" s="32">
        <f t="shared" si="1"/>
        <v>420082599</v>
      </c>
      <c r="I28" s="32">
        <f t="shared" si="1"/>
        <v>115750910</v>
      </c>
      <c r="J28" s="32">
        <f t="shared" si="1"/>
        <v>2530531272</v>
      </c>
      <c r="K28" s="92" t="e">
        <f>J28/J$184*100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372215150</v>
      </c>
      <c r="F31" s="31">
        <f t="shared" si="2"/>
        <v>133916917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506132067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248702845</v>
      </c>
      <c r="F32" s="31">
        <v>133916917</v>
      </c>
      <c r="G32" s="31">
        <v>0</v>
      </c>
      <c r="H32" s="31">
        <v>0</v>
      </c>
      <c r="I32" s="31"/>
      <c r="J32" s="31">
        <f>E32+F32+G32+H32</f>
        <v>382619762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123512305</v>
      </c>
      <c r="F33" s="31">
        <v>0</v>
      </c>
      <c r="G33" s="31">
        <v>0</v>
      </c>
      <c r="H33" s="31">
        <v>0</v>
      </c>
      <c r="I33" s="31"/>
      <c r="J33" s="31">
        <f>E33+F33+G33+H33</f>
        <v>123512305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10180053</v>
      </c>
      <c r="F36" s="31">
        <f t="shared" si="3"/>
        <v>0</v>
      </c>
      <c r="G36" s="31">
        <f t="shared" si="3"/>
        <v>619382483</v>
      </c>
      <c r="H36" s="31">
        <f t="shared" si="3"/>
        <v>420082599</v>
      </c>
      <c r="I36" s="31">
        <f>+I38</f>
        <v>115750910</v>
      </c>
      <c r="J36" s="31">
        <f t="shared" si="3"/>
        <v>933894225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5601707</v>
      </c>
      <c r="F37" s="31">
        <v>0</v>
      </c>
      <c r="G37" s="31">
        <v>361682643</v>
      </c>
      <c r="H37" s="31">
        <f>149058318+80316000</f>
        <v>229374318</v>
      </c>
      <c r="I37" s="31"/>
      <c r="J37" s="31">
        <f>E37+F37+G37+H37</f>
        <v>596658668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3858205</v>
      </c>
      <c r="F38" s="109">
        <v>0</v>
      </c>
      <c r="G38" s="109">
        <v>213914229</v>
      </c>
      <c r="H38" s="109">
        <v>165865371</v>
      </c>
      <c r="I38" s="427">
        <f>+I206</f>
        <v>115750910</v>
      </c>
      <c r="J38" s="109">
        <f>E38+F38+G38+H38-I38</f>
        <v>267886895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503718</v>
      </c>
      <c r="F39" s="31">
        <v>0</v>
      </c>
      <c r="G39" s="31">
        <v>30324856</v>
      </c>
      <c r="H39" s="31">
        <v>17647353</v>
      </c>
      <c r="I39" s="31"/>
      <c r="J39" s="31">
        <f>E39+F39+G39+H39</f>
        <v>48475927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216423</v>
      </c>
      <c r="F40" s="31">
        <v>0</v>
      </c>
      <c r="G40" s="31">
        <v>13460755</v>
      </c>
      <c r="H40" s="31">
        <v>7195557</v>
      </c>
      <c r="I40" s="31"/>
      <c r="J40" s="31">
        <f>E40+F40+G40+H40</f>
        <v>20872735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122753492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122753492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117399850</v>
      </c>
      <c r="F43" s="31">
        <v>0</v>
      </c>
      <c r="G43" s="31">
        <v>0</v>
      </c>
      <c r="H43" s="31">
        <v>0</v>
      </c>
      <c r="I43" s="31"/>
      <c r="J43" s="31">
        <f>E43+F43+G43+H43</f>
        <v>117399850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5353642</v>
      </c>
      <c r="F44" s="31">
        <v>0</v>
      </c>
      <c r="G44" s="31">
        <v>0</v>
      </c>
      <c r="H44" s="31">
        <v>0</v>
      </c>
      <c r="I44" s="31"/>
      <c r="J44" s="31">
        <f>E44+F44+G44+H44</f>
        <v>5353642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425909</v>
      </c>
      <c r="F46" s="31">
        <f t="shared" si="5"/>
        <v>39457777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39883686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>
        <v>0</v>
      </c>
      <c r="F47" s="31">
        <v>29247555</v>
      </c>
      <c r="G47" s="31">
        <v>0</v>
      </c>
      <c r="H47" s="31">
        <v>0</v>
      </c>
      <c r="I47" s="31"/>
      <c r="J47" s="31">
        <f>E47+F47+G47+H47</f>
        <v>29247555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>
        <v>0</v>
      </c>
      <c r="F48" s="31">
        <v>4026</v>
      </c>
      <c r="G48" s="31">
        <v>0</v>
      </c>
      <c r="H48" s="31">
        <v>0</v>
      </c>
      <c r="I48" s="31"/>
      <c r="J48" s="31">
        <f>E48+F48+G48+H48</f>
        <v>4026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>
        <v>0</v>
      </c>
      <c r="F49" s="31">
        <v>869985</v>
      </c>
      <c r="G49" s="31">
        <v>0</v>
      </c>
      <c r="H49" s="31">
        <v>0</v>
      </c>
      <c r="I49" s="31"/>
      <c r="J49" s="31">
        <f>E49+F49+G49+H49</f>
        <v>869985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>
        <v>425909</v>
      </c>
      <c r="F50" s="31">
        <v>9336211</v>
      </c>
      <c r="G50" s="31">
        <v>0</v>
      </c>
      <c r="H50" s="31">
        <v>0</v>
      </c>
      <c r="I50" s="31"/>
      <c r="J50" s="31">
        <f>E50+F50+G50+H50</f>
        <v>9762120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886189199</v>
      </c>
      <c r="F52" s="31">
        <f>SUM(F53:F61)</f>
        <v>24705785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910894984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>
        <v>588963370</v>
      </c>
      <c r="F53" s="31">
        <v>0</v>
      </c>
      <c r="G53" s="31">
        <v>0</v>
      </c>
      <c r="H53" s="31">
        <v>0</v>
      </c>
      <c r="I53" s="31"/>
      <c r="J53" s="31">
        <f t="shared" ref="J53:J61" si="7">E53+F53+G53+H53</f>
        <v>588963370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>
        <v>14432265</v>
      </c>
      <c r="F54" s="31">
        <v>0</v>
      </c>
      <c r="G54" s="31">
        <v>0</v>
      </c>
      <c r="H54" s="31">
        <v>0</v>
      </c>
      <c r="I54" s="31"/>
      <c r="J54" s="31">
        <f t="shared" si="7"/>
        <v>14432265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>
        <v>217768348</v>
      </c>
      <c r="F55" s="31">
        <v>0</v>
      </c>
      <c r="G55" s="31">
        <v>0</v>
      </c>
      <c r="H55" s="31">
        <v>0</v>
      </c>
      <c r="I55" s="31"/>
      <c r="J55" s="31">
        <f t="shared" si="7"/>
        <v>217768348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>
        <v>0</v>
      </c>
      <c r="F56" s="31">
        <v>0</v>
      </c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460</v>
      </c>
      <c r="E57" s="31">
        <v>23519433</v>
      </c>
      <c r="F57" s="31">
        <v>1776325</v>
      </c>
      <c r="G57" s="31">
        <v>0</v>
      </c>
      <c r="H57" s="31">
        <v>0</v>
      </c>
      <c r="I57" s="31"/>
      <c r="J57" s="31">
        <f t="shared" si="7"/>
        <v>25295758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>
        <v>24734400</v>
      </c>
      <c r="F59" s="31">
        <v>5768</v>
      </c>
      <c r="G59" s="31">
        <v>0</v>
      </c>
      <c r="H59" s="31">
        <v>0</v>
      </c>
      <c r="I59" s="31"/>
      <c r="J59" s="31">
        <f t="shared" si="7"/>
        <v>24740168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>
        <v>8426275</v>
      </c>
      <c r="F60" s="31">
        <v>22923692</v>
      </c>
      <c r="G60" s="31">
        <v>0</v>
      </c>
      <c r="H60" s="31">
        <v>0</v>
      </c>
      <c r="I60" s="31"/>
      <c r="J60" s="31">
        <f t="shared" si="7"/>
        <v>31349967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>
        <v>8345108</v>
      </c>
      <c r="F61" s="31">
        <v>0</v>
      </c>
      <c r="G61" s="31">
        <v>0</v>
      </c>
      <c r="H61" s="31">
        <v>0</v>
      </c>
      <c r="I61" s="31"/>
      <c r="J61" s="31">
        <f t="shared" si="7"/>
        <v>8345108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16588842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16588842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>
        <v>15559625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15559625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>
        <v>1029217</v>
      </c>
      <c r="F65" s="31">
        <v>0</v>
      </c>
      <c r="G65" s="31">
        <v>0</v>
      </c>
      <c r="H65" s="31">
        <v>0</v>
      </c>
      <c r="I65" s="31"/>
      <c r="J65" s="31">
        <f t="shared" si="10"/>
        <v>1029217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>
        <v>0</v>
      </c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>
        <v>0</v>
      </c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>
        <v>0</v>
      </c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>
        <v>0</v>
      </c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>
        <v>0</v>
      </c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381285</v>
      </c>
      <c r="F72" s="31">
        <f>F73</f>
        <v>2691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383976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381285</v>
      </c>
      <c r="F73" s="31">
        <v>2691</v>
      </c>
      <c r="G73" s="31">
        <v>0</v>
      </c>
      <c r="H73" s="31">
        <v>0</v>
      </c>
      <c r="I73" s="31"/>
      <c r="J73" s="31">
        <f>E73+F73+G73+H73</f>
        <v>383976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82014791</v>
      </c>
      <c r="F75" s="32">
        <f t="shared" si="11"/>
        <v>45914490</v>
      </c>
      <c r="G75" s="32">
        <f t="shared" si="11"/>
        <v>6442531</v>
      </c>
      <c r="H75" s="32">
        <f t="shared" si="11"/>
        <v>4301481</v>
      </c>
      <c r="I75" s="32">
        <f t="shared" si="11"/>
        <v>0</v>
      </c>
      <c r="J75" s="32">
        <f t="shared" si="11"/>
        <v>138673293</v>
      </c>
      <c r="K75" s="92" t="e">
        <f>J75/J$184*100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19657307</v>
      </c>
      <c r="F78" s="31">
        <f>SUM(F79:F82)</f>
        <v>22866894</v>
      </c>
      <c r="G78" s="31">
        <f>SUM(G79:G82)</f>
        <v>234370</v>
      </c>
      <c r="H78" s="31">
        <f>SUM(H79:H82)</f>
        <v>80174</v>
      </c>
      <c r="I78" s="31">
        <f>SUM(I79:I82)</f>
        <v>0</v>
      </c>
      <c r="J78" s="31">
        <f>E78+F78+G78+H78</f>
        <v>42838745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>
        <v>6688960</v>
      </c>
      <c r="F79" s="31">
        <v>474396</v>
      </c>
      <c r="G79" s="31">
        <v>0</v>
      </c>
      <c r="H79" s="31">
        <v>0</v>
      </c>
      <c r="I79" s="31"/>
      <c r="J79" s="31">
        <f>E79+F79+G79+H79</f>
        <v>7163356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>
        <v>16230</v>
      </c>
      <c r="F80" s="31">
        <v>506898</v>
      </c>
      <c r="G80" s="31">
        <v>0</v>
      </c>
      <c r="H80" s="31">
        <v>0</v>
      </c>
      <c r="I80" s="31"/>
      <c r="J80" s="31">
        <f>E80+F80+G80+H80</f>
        <v>523128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>
        <v>6823117</v>
      </c>
      <c r="F81" s="31">
        <v>2167608</v>
      </c>
      <c r="G81" s="31">
        <v>200449</v>
      </c>
      <c r="H81" s="31">
        <v>59334</v>
      </c>
      <c r="I81" s="31"/>
      <c r="J81" s="31">
        <f>E81+F81+G81+H81</f>
        <v>9250508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>
        <v>6129000</v>
      </c>
      <c r="F82" s="31">
        <v>19717992</v>
      </c>
      <c r="G82" s="31">
        <v>33921</v>
      </c>
      <c r="H82" s="31">
        <v>20840</v>
      </c>
      <c r="I82" s="31"/>
      <c r="J82" s="31">
        <f>E82+F82+G82+H82</f>
        <v>25901753</v>
      </c>
      <c r="K82" s="103" t="e">
        <f>J82/J$184*100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25985636</v>
      </c>
      <c r="F85" s="31">
        <f>F86+F87</f>
        <v>1217033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27202669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>
        <v>8716260</v>
      </c>
      <c r="F86" s="31">
        <v>0</v>
      </c>
      <c r="G86" s="31">
        <v>0</v>
      </c>
      <c r="H86" s="31">
        <v>0</v>
      </c>
      <c r="I86" s="31"/>
      <c r="J86" s="31">
        <f>E86+F86+G86+H86</f>
        <v>8716260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>
        <v>17269376</v>
      </c>
      <c r="F87" s="31">
        <v>1217033</v>
      </c>
      <c r="G87" s="31">
        <v>0</v>
      </c>
      <c r="H87" s="31">
        <v>0</v>
      </c>
      <c r="I87" s="31"/>
      <c r="J87" s="31">
        <f>E87+F87+G87+H87</f>
        <v>18486409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8684073</v>
      </c>
      <c r="F89" s="31">
        <f>F90</f>
        <v>533602</v>
      </c>
      <c r="G89" s="31">
        <f>G90</f>
        <v>0</v>
      </c>
      <c r="H89" s="31">
        <f>H90</f>
        <v>118723</v>
      </c>
      <c r="I89" s="31">
        <f>I90</f>
        <v>0</v>
      </c>
      <c r="J89" s="31">
        <f>E89+F89+G89+H89</f>
        <v>9336398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>
        <v>8684073</v>
      </c>
      <c r="F90" s="31">
        <v>533602</v>
      </c>
      <c r="G90" s="31">
        <v>0</v>
      </c>
      <c r="H90" s="31">
        <v>118723</v>
      </c>
      <c r="I90" s="31"/>
      <c r="J90" s="31">
        <f>E90+F90+G90+H90</f>
        <v>9336398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3454361</v>
      </c>
      <c r="F92" s="31">
        <f t="shared" si="12"/>
        <v>1943557</v>
      </c>
      <c r="G92" s="31">
        <f t="shared" si="12"/>
        <v>34894</v>
      </c>
      <c r="H92" s="31">
        <f t="shared" si="12"/>
        <v>833600</v>
      </c>
      <c r="I92" s="31">
        <f t="shared" si="12"/>
        <v>0</v>
      </c>
      <c r="J92" s="31">
        <f t="shared" si="12"/>
        <v>6266412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>
        <v>3454361</v>
      </c>
      <c r="F93" s="31">
        <v>1943557</v>
      </c>
      <c r="G93" s="31">
        <v>34894</v>
      </c>
      <c r="H93" s="31">
        <v>833600</v>
      </c>
      <c r="I93" s="31"/>
      <c r="J93" s="31">
        <f>E93+F93+G93+H93-I93</f>
        <v>6266412</v>
      </c>
      <c r="K93" s="103" t="e">
        <f>J93/J$184*100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24233414</v>
      </c>
      <c r="F96" s="31">
        <f t="shared" si="13"/>
        <v>19353404</v>
      </c>
      <c r="G96" s="31">
        <f t="shared" si="13"/>
        <v>6173267</v>
      </c>
      <c r="H96" s="31">
        <f t="shared" si="13"/>
        <v>3268984</v>
      </c>
      <c r="I96" s="31">
        <f t="shared" si="13"/>
        <v>0</v>
      </c>
      <c r="J96" s="31">
        <f t="shared" si="13"/>
        <v>53029069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>
        <v>0</v>
      </c>
      <c r="F97" s="31">
        <v>0</v>
      </c>
      <c r="G97" s="31">
        <v>4860664</v>
      </c>
      <c r="H97" s="31">
        <v>0</v>
      </c>
      <c r="I97" s="31"/>
      <c r="J97" s="31">
        <f>E97+F97+G97+H97</f>
        <v>4860664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>
        <v>24233414</v>
      </c>
      <c r="F98" s="31">
        <v>19353404</v>
      </c>
      <c r="G98" s="31">
        <v>1312603</v>
      </c>
      <c r="H98" s="31">
        <v>3268984</v>
      </c>
      <c r="I98" s="31"/>
      <c r="J98" s="31">
        <f>E98+F98+G98+H98-I98</f>
        <v>48168405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2199089</v>
      </c>
      <c r="F100" s="32">
        <f>F103+F109+F113</f>
        <v>14185055</v>
      </c>
      <c r="G100" s="32">
        <f>G103+G109+G113</f>
        <v>600</v>
      </c>
      <c r="H100" s="32">
        <f>H103+H109+H113</f>
        <v>26849</v>
      </c>
      <c r="I100" s="32">
        <f>I103+I109+I113</f>
        <v>0</v>
      </c>
      <c r="J100" s="32">
        <f>E100+F100+G100+H100</f>
        <v>16411593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856696</v>
      </c>
      <c r="F103" s="31">
        <f>SUM(F104:F107)</f>
        <v>4908759</v>
      </c>
      <c r="G103" s="31">
        <v>600</v>
      </c>
      <c r="H103" s="31">
        <v>26849</v>
      </c>
      <c r="I103" s="31">
        <f>SUM(I104:I107)</f>
        <v>0</v>
      </c>
      <c r="J103" s="31">
        <f>E103+F103+G103+H103</f>
        <v>5792904</v>
      </c>
      <c r="K103" s="103" t="e">
        <f>J103/J$184*100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>
        <v>768162</v>
      </c>
      <c r="F104" s="31">
        <v>4422617</v>
      </c>
      <c r="G104" s="31"/>
      <c r="H104" s="31"/>
      <c r="I104" s="31"/>
      <c r="J104" s="31">
        <f>E104+F104+G104+H104</f>
        <v>5190779</v>
      </c>
      <c r="K104" s="103" t="e">
        <f>J104/J$184*100</f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>
        <v>79791</v>
      </c>
      <c r="F105" s="31">
        <v>11960</v>
      </c>
      <c r="G105" s="31"/>
      <c r="H105" s="31"/>
      <c r="I105" s="31"/>
      <c r="J105" s="31">
        <f>E105+F105+G105+H105</f>
        <v>91751</v>
      </c>
      <c r="K105" s="103" t="e">
        <f>J105/J$184*100</f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>
        <v>6947</v>
      </c>
      <c r="F106" s="31">
        <v>34465</v>
      </c>
      <c r="G106" s="31"/>
      <c r="H106" s="31"/>
      <c r="I106" s="31"/>
      <c r="J106" s="31">
        <f>E106+F106+G106+H106</f>
        <v>41412</v>
      </c>
      <c r="K106" s="103" t="e">
        <f>J106/J$184*100</f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1">
        <v>1796</v>
      </c>
      <c r="F107" s="31">
        <v>439717</v>
      </c>
      <c r="G107" s="31"/>
      <c r="H107" s="31"/>
      <c r="I107" s="31"/>
      <c r="J107" s="31">
        <f>E107+F107+G107+H107</f>
        <v>441513</v>
      </c>
      <c r="K107" s="103" t="e">
        <f>J107/J$184*100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J109/J$184*100</f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1342393</v>
      </c>
      <c r="F113" s="31">
        <v>9276296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10618689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>
        <v>0</v>
      </c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>
        <v>1342393</v>
      </c>
      <c r="F115" s="31"/>
      <c r="G115" s="31">
        <v>0</v>
      </c>
      <c r="H115" s="31">
        <v>0</v>
      </c>
      <c r="I115" s="31"/>
      <c r="J115" s="31">
        <f>E115+F115+G115+H115</f>
        <v>1342393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>
        <v>0</v>
      </c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10868</v>
      </c>
      <c r="F118" s="32">
        <f>F121+F125</f>
        <v>1011076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1021944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v>10868</v>
      </c>
      <c r="F121" s="31">
        <v>610187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621055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/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/>
      <c r="F123" s="31"/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0</v>
      </c>
      <c r="F125" s="31">
        <v>400889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E125+F125+G125+H125-I125</f>
        <v>400889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109656</v>
      </c>
      <c r="F129" s="73">
        <f>F131</f>
        <v>71363955</v>
      </c>
      <c r="G129" s="73">
        <f>G131</f>
        <v>270091980</v>
      </c>
      <c r="H129" s="73">
        <f>H131</f>
        <v>79066329</v>
      </c>
      <c r="I129" s="73">
        <f>I131</f>
        <v>413074427</v>
      </c>
      <c r="J129" s="73">
        <f>+J131</f>
        <v>7557493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E133+E143+E144+E145</f>
        <v>109656</v>
      </c>
      <c r="F131" s="109">
        <f>F133+F143+F144+F145</f>
        <v>71363955</v>
      </c>
      <c r="G131" s="109">
        <f>G133+G143+G144+G145</f>
        <v>270091980</v>
      </c>
      <c r="H131" s="109">
        <f>H133+H143+H144+H145</f>
        <v>79066329</v>
      </c>
      <c r="I131" s="109">
        <f>I133+I143+I144+I145</f>
        <v>413074427</v>
      </c>
      <c r="J131" s="109">
        <f>SUM(J133:J145)</f>
        <v>7557493</v>
      </c>
      <c r="K131" s="103" t="e">
        <f>J131/J$184*100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>
        <v>102736</v>
      </c>
      <c r="F133" s="117">
        <f>+F134+F135+F136</f>
        <v>67699819</v>
      </c>
      <c r="G133" s="117">
        <f>+G134+G136+G137+G138+G140</f>
        <v>263292124</v>
      </c>
      <c r="H133" s="117">
        <f>+H137+H139+H141</f>
        <v>4407666</v>
      </c>
      <c r="I133" s="428">
        <f>E133+F133+G133+H133</f>
        <v>335502345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193</v>
      </c>
      <c r="D134" s="102"/>
      <c r="E134" s="117"/>
      <c r="F134" s="117">
        <v>47236882</v>
      </c>
      <c r="G134" s="117">
        <v>90049128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931</v>
      </c>
      <c r="D135" s="102"/>
      <c r="E135" s="117"/>
      <c r="F135" s="117">
        <v>2823918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932</v>
      </c>
      <c r="D136" s="102"/>
      <c r="E136" s="117"/>
      <c r="F136" s="117">
        <v>17639019</v>
      </c>
      <c r="G136" s="117">
        <v>167352874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933</v>
      </c>
      <c r="D137" s="102"/>
      <c r="E137" s="117"/>
      <c r="F137" s="117"/>
      <c r="G137" s="117">
        <v>428430</v>
      </c>
      <c r="H137" s="117">
        <v>189159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934</v>
      </c>
      <c r="D138" s="102"/>
      <c r="E138" s="117"/>
      <c r="F138" s="117"/>
      <c r="G138" s="117">
        <v>3566938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935</v>
      </c>
      <c r="D139" s="102"/>
      <c r="E139" s="117"/>
      <c r="F139" s="117"/>
      <c r="G139" s="117"/>
      <c r="H139" s="117">
        <v>2638691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936</v>
      </c>
      <c r="D140" s="102"/>
      <c r="E140" s="117"/>
      <c r="F140" s="117"/>
      <c r="G140" s="117">
        <v>1894754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192</v>
      </c>
      <c r="D141" s="102"/>
      <c r="E141" s="117"/>
      <c r="F141" s="117"/>
      <c r="G141" s="117"/>
      <c r="H141" s="117">
        <v>1579816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577</v>
      </c>
      <c r="D143" s="102" t="s">
        <v>578</v>
      </c>
      <c r="E143" s="109">
        <v>0</v>
      </c>
      <c r="F143" s="117">
        <v>2312035</v>
      </c>
      <c r="G143" s="109">
        <v>0</v>
      </c>
      <c r="H143" s="117">
        <v>3796622</v>
      </c>
      <c r="I143" s="428">
        <f>E143+F143+G143+H143</f>
        <v>6108657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579</v>
      </c>
      <c r="D144" s="102" t="s">
        <v>580</v>
      </c>
      <c r="E144" s="117">
        <v>6920</v>
      </c>
      <c r="F144" s="117">
        <v>169608</v>
      </c>
      <c r="G144" s="117">
        <v>424856</v>
      </c>
      <c r="H144" s="117">
        <v>70862041</v>
      </c>
      <c r="I144" s="428">
        <f>E144+F144+G144+H144</f>
        <v>71463425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581</v>
      </c>
      <c r="D145" s="102" t="s">
        <v>582</v>
      </c>
      <c r="E145" s="109">
        <v>0</v>
      </c>
      <c r="F145" s="109">
        <v>1182493</v>
      </c>
      <c r="G145" s="109">
        <v>6375000</v>
      </c>
      <c r="H145" s="109">
        <v>0</v>
      </c>
      <c r="I145" s="109">
        <v>0</v>
      </c>
      <c r="J145" s="109">
        <f>E145+F145+G145+H145-I145</f>
        <v>7557493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884</v>
      </c>
      <c r="D147" s="91"/>
      <c r="E147" s="32">
        <f>+E149+E154+E159+E165+E168+E172+E176+E179</f>
        <v>86622400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86622400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885</v>
      </c>
      <c r="D149" s="432"/>
      <c r="E149" s="383">
        <v>6583800</v>
      </c>
      <c r="F149" s="383"/>
      <c r="G149" s="383"/>
      <c r="H149" s="383"/>
      <c r="I149" s="383"/>
      <c r="J149" s="383">
        <f>+E149+F149+G149+H149-I149</f>
        <v>6583800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886</v>
      </c>
      <c r="D150" s="432"/>
      <c r="E150" s="383"/>
      <c r="F150" s="383"/>
      <c r="G150" s="383"/>
      <c r="H150" s="383"/>
      <c r="I150" s="383"/>
      <c r="J150" s="383"/>
      <c r="K150" s="433"/>
    </row>
    <row r="151" spans="1:11" s="423" customFormat="1" x14ac:dyDescent="0.2">
      <c r="A151" s="204">
        <v>7801</v>
      </c>
      <c r="B151" s="205"/>
      <c r="C151" s="206" t="s">
        <v>887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7802</v>
      </c>
      <c r="B152" s="205"/>
      <c r="C152" s="206" t="s">
        <v>888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894</v>
      </c>
      <c r="D154" s="432"/>
      <c r="E154" s="383">
        <f>+E155+E156+E157</f>
        <v>32850500</v>
      </c>
      <c r="F154" s="383"/>
      <c r="G154" s="383"/>
      <c r="H154" s="383"/>
      <c r="I154" s="383"/>
      <c r="J154" s="383">
        <f>+E154+F154+G154+H154-I154</f>
        <v>32850500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889</v>
      </c>
      <c r="D155" s="432"/>
      <c r="E155" s="383">
        <v>10105800</v>
      </c>
      <c r="F155" s="383"/>
      <c r="G155" s="383"/>
      <c r="H155" s="383"/>
      <c r="I155" s="383"/>
      <c r="J155" s="383">
        <f>+E155+F155+G155+H155-I155</f>
        <v>10105800</v>
      </c>
      <c r="K155" s="433"/>
    </row>
    <row r="156" spans="1:11" s="423" customFormat="1" x14ac:dyDescent="0.2">
      <c r="A156" s="204">
        <v>7811</v>
      </c>
      <c r="B156" s="205"/>
      <c r="C156" s="206" t="s">
        <v>890</v>
      </c>
      <c r="D156" s="432"/>
      <c r="E156" s="383">
        <v>7071400</v>
      </c>
      <c r="F156" s="383"/>
      <c r="G156" s="383"/>
      <c r="H156" s="383"/>
      <c r="I156" s="383"/>
      <c r="J156" s="383">
        <f>+E156+F156+G156+H156-I156</f>
        <v>7071400</v>
      </c>
      <c r="K156" s="433"/>
    </row>
    <row r="157" spans="1:11" s="423" customFormat="1" x14ac:dyDescent="0.2">
      <c r="A157" s="204">
        <v>7812</v>
      </c>
      <c r="B157" s="205"/>
      <c r="C157" s="206" t="s">
        <v>893</v>
      </c>
      <c r="D157" s="432"/>
      <c r="E157" s="383">
        <v>15673300</v>
      </c>
      <c r="F157" s="383"/>
      <c r="G157" s="383"/>
      <c r="H157" s="383"/>
      <c r="I157" s="383"/>
      <c r="J157" s="383">
        <f>+E157+F157+G157+H157-I157</f>
        <v>15673300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900</v>
      </c>
      <c r="D159" s="432"/>
      <c r="E159" s="383">
        <v>12111000</v>
      </c>
      <c r="F159" s="383"/>
      <c r="G159" s="383"/>
      <c r="H159" s="383"/>
      <c r="I159" s="383"/>
      <c r="J159" s="383">
        <f>+E159+F159+G159+H159-I159</f>
        <v>12111000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896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897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898</v>
      </c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899</v>
      </c>
      <c r="D163" s="432"/>
      <c r="E163" s="383"/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902</v>
      </c>
      <c r="D165" s="432"/>
      <c r="E165" s="383">
        <f>+E166</f>
        <v>3519400</v>
      </c>
      <c r="F165" s="383"/>
      <c r="G165" s="383"/>
      <c r="H165" s="383"/>
      <c r="I165" s="383"/>
      <c r="J165" s="383">
        <f>+E165+F165+G165+H165-I165</f>
        <v>3519400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901</v>
      </c>
      <c r="D166" s="432"/>
      <c r="E166" s="383">
        <v>3519400</v>
      </c>
      <c r="F166" s="383"/>
      <c r="G166" s="383"/>
      <c r="H166" s="383"/>
      <c r="I166" s="383"/>
      <c r="J166" s="383">
        <f>+E166+F166+G166+H166-I166</f>
        <v>3519400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905</v>
      </c>
      <c r="D168" s="432"/>
      <c r="E168" s="383">
        <f>+E169+E170</f>
        <v>9393400</v>
      </c>
      <c r="F168" s="383"/>
      <c r="G168" s="383"/>
      <c r="H168" s="383"/>
      <c r="I168" s="383"/>
      <c r="J168" s="383">
        <f>+E168+F168+G168+H168-I168</f>
        <v>9393400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903</v>
      </c>
      <c r="D169" s="432"/>
      <c r="E169" s="383">
        <v>9393400</v>
      </c>
      <c r="F169" s="383"/>
      <c r="G169" s="383"/>
      <c r="H169" s="383"/>
      <c r="I169" s="383"/>
      <c r="J169" s="383">
        <f>+E169+F169+G169+H169-I169</f>
        <v>9393400</v>
      </c>
      <c r="K169" s="433"/>
    </row>
    <row r="170" spans="1:11" s="423" customFormat="1" x14ac:dyDescent="0.2">
      <c r="A170" s="204">
        <v>7841</v>
      </c>
      <c r="B170" s="205"/>
      <c r="C170" s="206" t="s">
        <v>904</v>
      </c>
      <c r="D170" s="432"/>
      <c r="E170" s="383"/>
      <c r="F170" s="383"/>
      <c r="G170" s="383"/>
      <c r="H170" s="383"/>
      <c r="I170" s="383"/>
      <c r="J170" s="383"/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908</v>
      </c>
      <c r="D172" s="432"/>
      <c r="E172" s="383">
        <f>+E173+E174</f>
        <v>22164300</v>
      </c>
      <c r="F172" s="383"/>
      <c r="G172" s="383"/>
      <c r="H172" s="383"/>
      <c r="I172" s="383"/>
      <c r="J172" s="383">
        <f>+E172+F172+G172+H172-I172</f>
        <v>22164300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906</v>
      </c>
      <c r="D173" s="432"/>
      <c r="E173" s="383">
        <v>4749500</v>
      </c>
      <c r="F173" s="383"/>
      <c r="G173" s="383"/>
      <c r="H173" s="383"/>
      <c r="I173" s="383"/>
      <c r="J173" s="383">
        <f>+E173+F173+G173+H173-I173</f>
        <v>4749500</v>
      </c>
      <c r="K173" s="433"/>
    </row>
    <row r="174" spans="1:11" s="423" customFormat="1" x14ac:dyDescent="0.2">
      <c r="A174" s="204">
        <v>7851</v>
      </c>
      <c r="B174" s="205"/>
      <c r="C174" s="206" t="s">
        <v>907</v>
      </c>
      <c r="D174" s="432"/>
      <c r="E174" s="383">
        <v>17414800</v>
      </c>
      <c r="F174" s="383"/>
      <c r="G174" s="383"/>
      <c r="H174" s="383"/>
      <c r="I174" s="383"/>
      <c r="J174" s="383">
        <f>+E174+F174+G174+H174-I174</f>
        <v>17414800</v>
      </c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910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909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912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911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1" ht="19.5" thickTop="1" thickBot="1" x14ac:dyDescent="0.3">
      <c r="A184" s="53" t="s">
        <v>866</v>
      </c>
      <c r="B184" s="53"/>
      <c r="C184" s="131" t="s">
        <v>583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0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83</v>
      </c>
      <c r="C187" s="77" t="s">
        <v>585</v>
      </c>
      <c r="D187" s="142"/>
      <c r="E187" s="73">
        <f>E190+E252+E291+E305+E319-2</f>
        <v>1816115555</v>
      </c>
      <c r="F187" s="73">
        <f>F190+F252+F291+F305+F319-3</f>
        <v>334026504</v>
      </c>
      <c r="G187" s="73">
        <f>G190+G252+G291+G305+G319</f>
        <v>889542596</v>
      </c>
      <c r="H187" s="73">
        <f>H190+H252+H291+H305+H319+1</f>
        <v>494118508</v>
      </c>
      <c r="I187" s="73">
        <f>I190+I252+I291+I305+I319</f>
        <v>528825337</v>
      </c>
      <c r="J187" s="75">
        <f>E187+F187+G187+H187-I187</f>
        <v>3004977826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587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588</v>
      </c>
      <c r="D190" s="146"/>
      <c r="E190" s="32">
        <f>E193+E206+E216+E232+E239+E246</f>
        <v>886907465</v>
      </c>
      <c r="F190" s="32">
        <f>F193+F206+F216+F232+F239+F246</f>
        <v>135464254</v>
      </c>
      <c r="G190" s="32">
        <f>G193+G206+G216+G232+G239+G246</f>
        <v>11061127</v>
      </c>
      <c r="H190" s="32">
        <f>H193+H206+H216+H232+H239+H246</f>
        <v>440041656</v>
      </c>
      <c r="I190" s="32">
        <f>+I206+I216</f>
        <v>115750910</v>
      </c>
      <c r="J190" s="32">
        <f>E190+F190+G190+H190-I190</f>
        <v>1357723592</v>
      </c>
      <c r="K190" s="92" t="e">
        <f>J190/J$184*100</f>
        <v>#REF!</v>
      </c>
    </row>
    <row r="191" spans="1:11" x14ac:dyDescent="0.2">
      <c r="A191" s="147"/>
      <c r="B191" s="148"/>
      <c r="C191" s="96" t="s">
        <v>816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4" x14ac:dyDescent="0.2">
      <c r="A193" s="99"/>
      <c r="B193" s="100"/>
      <c r="C193" s="101" t="s">
        <v>817</v>
      </c>
      <c r="D193" s="149"/>
      <c r="E193" s="31">
        <f>+E195+E204</f>
        <v>452142538</v>
      </c>
      <c r="F193" s="31">
        <f>+F195+F204</f>
        <v>39300010</v>
      </c>
      <c r="G193" s="31">
        <f>+G195+G204</f>
        <v>3765551</v>
      </c>
      <c r="H193" s="31">
        <f>+H195+H204</f>
        <v>151291273</v>
      </c>
      <c r="I193" s="31">
        <f>+I195+I204</f>
        <v>0</v>
      </c>
      <c r="J193" s="31">
        <f>E193+F193+G193+H193-I193</f>
        <v>646499372</v>
      </c>
      <c r="K193" s="103" t="e">
        <f>J193/J$184*100</f>
        <v>#REF!</v>
      </c>
    </row>
    <row r="194" spans="1:14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4" x14ac:dyDescent="0.2">
      <c r="A195" s="99">
        <v>400</v>
      </c>
      <c r="B195" s="100"/>
      <c r="C195" s="101" t="s">
        <v>818</v>
      </c>
      <c r="D195" s="149"/>
      <c r="E195" s="31">
        <f>SUM(E196:E202)</f>
        <v>198685639</v>
      </c>
      <c r="F195" s="31">
        <v>18499015</v>
      </c>
      <c r="G195" s="31">
        <v>3765551</v>
      </c>
      <c r="H195" s="31">
        <v>4523662</v>
      </c>
      <c r="I195" s="31">
        <v>0</v>
      </c>
      <c r="J195" s="31">
        <f>E195+F195+G195+H195-I195</f>
        <v>225473867</v>
      </c>
      <c r="K195" s="103" t="e">
        <f>J195/J$184*100</f>
        <v>#REF!</v>
      </c>
    </row>
    <row r="196" spans="1:14" x14ac:dyDescent="0.2">
      <c r="A196" s="99">
        <v>4000</v>
      </c>
      <c r="B196" s="100"/>
      <c r="C196" s="101" t="s">
        <v>593</v>
      </c>
      <c r="D196" s="149"/>
      <c r="E196" s="31">
        <v>169400017</v>
      </c>
      <c r="F196" s="202" t="s">
        <v>845</v>
      </c>
      <c r="G196" s="202" t="s">
        <v>845</v>
      </c>
      <c r="H196" s="202" t="s">
        <v>845</v>
      </c>
      <c r="I196" s="202" t="s">
        <v>845</v>
      </c>
      <c r="J196" s="202" t="s">
        <v>845</v>
      </c>
      <c r="K196" s="103"/>
    </row>
    <row r="197" spans="1:14" x14ac:dyDescent="0.2">
      <c r="A197" s="99">
        <v>4001</v>
      </c>
      <c r="B197" s="100"/>
      <c r="C197" s="101" t="s">
        <v>595</v>
      </c>
      <c r="D197" s="149"/>
      <c r="E197" s="31">
        <v>5829323</v>
      </c>
      <c r="F197" s="202" t="s">
        <v>845</v>
      </c>
      <c r="G197" s="202" t="s">
        <v>845</v>
      </c>
      <c r="H197" s="202" t="s">
        <v>845</v>
      </c>
      <c r="I197" s="202" t="s">
        <v>845</v>
      </c>
      <c r="J197" s="202" t="s">
        <v>845</v>
      </c>
      <c r="K197" s="103"/>
    </row>
    <row r="198" spans="1:14" x14ac:dyDescent="0.2">
      <c r="A198" s="99">
        <v>4002</v>
      </c>
      <c r="B198" s="100"/>
      <c r="C198" s="101" t="s">
        <v>597</v>
      </c>
      <c r="D198" s="149"/>
      <c r="E198" s="31">
        <v>15850578</v>
      </c>
      <c r="F198" s="202" t="s">
        <v>845</v>
      </c>
      <c r="G198" s="202" t="s">
        <v>845</v>
      </c>
      <c r="H198" s="202" t="s">
        <v>845</v>
      </c>
      <c r="I198" s="202" t="s">
        <v>845</v>
      </c>
      <c r="J198" s="202" t="s">
        <v>845</v>
      </c>
      <c r="K198" s="103"/>
    </row>
    <row r="199" spans="1:14" x14ac:dyDescent="0.2">
      <c r="A199" s="99">
        <v>4003</v>
      </c>
      <c r="B199" s="100"/>
      <c r="C199" s="101" t="s">
        <v>599</v>
      </c>
      <c r="D199" s="149"/>
      <c r="E199" s="31">
        <v>4073672</v>
      </c>
      <c r="F199" s="202" t="s">
        <v>845</v>
      </c>
      <c r="G199" s="202" t="s">
        <v>845</v>
      </c>
      <c r="H199" s="202" t="s">
        <v>845</v>
      </c>
      <c r="I199" s="202" t="s">
        <v>845</v>
      </c>
      <c r="J199" s="202" t="s">
        <v>845</v>
      </c>
      <c r="K199" s="103"/>
    </row>
    <row r="200" spans="1:14" x14ac:dyDescent="0.2">
      <c r="A200" s="99">
        <v>4004</v>
      </c>
      <c r="B200" s="100"/>
      <c r="C200" s="101" t="s">
        <v>601</v>
      </c>
      <c r="D200" s="149"/>
      <c r="E200" s="31">
        <v>2120751</v>
      </c>
      <c r="F200" s="202" t="s">
        <v>845</v>
      </c>
      <c r="G200" s="202" t="s">
        <v>845</v>
      </c>
      <c r="H200" s="202" t="s">
        <v>845</v>
      </c>
      <c r="I200" s="202" t="s">
        <v>845</v>
      </c>
      <c r="J200" s="202" t="s">
        <v>845</v>
      </c>
      <c r="K200" s="103"/>
    </row>
    <row r="201" spans="1:14" x14ac:dyDescent="0.2">
      <c r="A201" s="99">
        <v>4005</v>
      </c>
      <c r="B201" s="100"/>
      <c r="C201" s="101" t="s">
        <v>603</v>
      </c>
      <c r="D201" s="149"/>
      <c r="E201" s="31">
        <v>24670</v>
      </c>
      <c r="F201" s="202" t="s">
        <v>845</v>
      </c>
      <c r="G201" s="202" t="s">
        <v>845</v>
      </c>
      <c r="H201" s="202" t="s">
        <v>845</v>
      </c>
      <c r="I201" s="202" t="s">
        <v>845</v>
      </c>
      <c r="J201" s="202" t="s">
        <v>845</v>
      </c>
      <c r="K201" s="103"/>
    </row>
    <row r="202" spans="1:14" x14ac:dyDescent="0.2">
      <c r="A202" s="99">
        <v>4009</v>
      </c>
      <c r="B202" s="100"/>
      <c r="C202" s="101" t="s">
        <v>605</v>
      </c>
      <c r="D202" s="149"/>
      <c r="E202" s="31">
        <v>1386628</v>
      </c>
      <c r="F202" s="202" t="s">
        <v>845</v>
      </c>
      <c r="G202" s="202" t="s">
        <v>845</v>
      </c>
      <c r="H202" s="202" t="s">
        <v>845</v>
      </c>
      <c r="I202" s="202" t="s">
        <v>845</v>
      </c>
      <c r="J202" s="202" t="s">
        <v>845</v>
      </c>
      <c r="K202" s="103"/>
    </row>
    <row r="203" spans="1:14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4" x14ac:dyDescent="0.2">
      <c r="A204" s="99">
        <v>413300</v>
      </c>
      <c r="B204" s="100"/>
      <c r="C204" s="101" t="s">
        <v>819</v>
      </c>
      <c r="D204" s="149"/>
      <c r="E204" s="31">
        <v>253456899</v>
      </c>
      <c r="F204" s="31">
        <v>20800995</v>
      </c>
      <c r="G204" s="31">
        <v>0</v>
      </c>
      <c r="H204" s="31">
        <f>142829608+3938003</f>
        <v>146767611</v>
      </c>
      <c r="I204" s="31">
        <v>0</v>
      </c>
      <c r="J204" s="31">
        <f>E204+F204+G204+H204-I204</f>
        <v>421025505</v>
      </c>
      <c r="K204" s="103" t="e">
        <f>J204/J$184*100</f>
        <v>#REF!</v>
      </c>
    </row>
    <row r="205" spans="1:14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4" x14ac:dyDescent="0.2">
      <c r="A206" s="151"/>
      <c r="B206" s="115"/>
      <c r="C206" s="112" t="s">
        <v>820</v>
      </c>
      <c r="D206" s="152"/>
      <c r="E206" s="113">
        <f>+E208+E214</f>
        <v>77893093</v>
      </c>
      <c r="F206" s="113">
        <f>+F208+F214</f>
        <v>5799723</v>
      </c>
      <c r="G206" s="113">
        <f>+G208+G214</f>
        <v>516239</v>
      </c>
      <c r="H206" s="113">
        <f>+H208+H214</f>
        <v>31541855</v>
      </c>
      <c r="I206" s="426">
        <f>+I208+I214</f>
        <v>115750910</v>
      </c>
      <c r="J206" s="113">
        <f>E206+F206+G206+H206-I206</f>
        <v>0</v>
      </c>
      <c r="K206" s="110"/>
      <c r="N206" s="431"/>
    </row>
    <row r="207" spans="1:14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4" x14ac:dyDescent="0.2">
      <c r="A208" s="106">
        <v>401</v>
      </c>
      <c r="B208" s="107"/>
      <c r="C208" s="108" t="s">
        <v>832</v>
      </c>
      <c r="D208" s="153"/>
      <c r="E208" s="109">
        <f>SUM(E209:E212)</f>
        <v>31869386</v>
      </c>
      <c r="F208" s="109">
        <f>SUM(F209:F212)</f>
        <v>2667883</v>
      </c>
      <c r="G208" s="109">
        <f>SUM(G209:G212)</f>
        <v>516239</v>
      </c>
      <c r="H208" s="109">
        <f>SUM(H209:H212)</f>
        <v>643820</v>
      </c>
      <c r="I208" s="109">
        <f>SUM(I209:I212)</f>
        <v>35697328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608</v>
      </c>
      <c r="D209" s="153"/>
      <c r="E209" s="109">
        <v>19684018</v>
      </c>
      <c r="F209" s="109">
        <v>1680761</v>
      </c>
      <c r="G209" s="109">
        <v>283741</v>
      </c>
      <c r="H209" s="109">
        <v>358352</v>
      </c>
      <c r="I209" s="109">
        <f>E209+F209+G209+H209</f>
        <v>22006872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613</v>
      </c>
      <c r="D210" s="153"/>
      <c r="E210" s="109">
        <v>11908137</v>
      </c>
      <c r="F210" s="109">
        <v>955101</v>
      </c>
      <c r="G210" s="109">
        <v>227361</v>
      </c>
      <c r="H210" s="109">
        <v>278989</v>
      </c>
      <c r="I210" s="109">
        <f>E210+F210+G210+H210</f>
        <v>13369588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615</v>
      </c>
      <c r="D211" s="153"/>
      <c r="E211" s="109">
        <v>103759</v>
      </c>
      <c r="F211" s="109">
        <v>14679</v>
      </c>
      <c r="G211" s="109">
        <v>1937</v>
      </c>
      <c r="H211" s="109">
        <v>2430</v>
      </c>
      <c r="I211" s="109">
        <f>E211+F211+G211+H211</f>
        <v>122805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617</v>
      </c>
      <c r="D212" s="153"/>
      <c r="E212" s="109">
        <v>173472</v>
      </c>
      <c r="F212" s="109">
        <v>17342</v>
      </c>
      <c r="G212" s="109">
        <v>3200</v>
      </c>
      <c r="H212" s="109">
        <v>4049</v>
      </c>
      <c r="I212" s="109">
        <f>E212+F212+G212+H212</f>
        <v>198063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821</v>
      </c>
      <c r="D214" s="153"/>
      <c r="E214" s="109">
        <v>46023707</v>
      </c>
      <c r="F214" s="109">
        <v>3131840</v>
      </c>
      <c r="G214" s="109">
        <v>0</v>
      </c>
      <c r="H214" s="109">
        <v>30898035</v>
      </c>
      <c r="I214" s="109">
        <f>E214+F214+G214+H214</f>
        <v>80053582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822</v>
      </c>
      <c r="D216" s="149"/>
      <c r="E216" s="31">
        <f t="shared" ref="E216:J216" si="14">+E218+E230</f>
        <v>230206983</v>
      </c>
      <c r="F216" s="31">
        <f t="shared" si="14"/>
        <v>87521300</v>
      </c>
      <c r="G216" s="31">
        <f t="shared" si="14"/>
        <v>6079337</v>
      </c>
      <c r="H216" s="31">
        <f t="shared" si="14"/>
        <v>256478528</v>
      </c>
      <c r="I216" s="31">
        <f t="shared" si="14"/>
        <v>0</v>
      </c>
      <c r="J216" s="31">
        <f t="shared" si="14"/>
        <v>580286148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833</v>
      </c>
      <c r="D218" s="149"/>
      <c r="E218" s="31">
        <f>SUM(E219:E228)</f>
        <v>176858919</v>
      </c>
      <c r="F218" s="31">
        <f>SUM(F219:F228)</f>
        <v>54579719</v>
      </c>
      <c r="G218" s="31">
        <v>6079337</v>
      </c>
      <c r="H218" s="31">
        <v>4837319</v>
      </c>
      <c r="I218" s="31">
        <f>SUM(I219:I228)</f>
        <v>0</v>
      </c>
      <c r="J218" s="31">
        <f>E218+F218+G218+H218-I218</f>
        <v>242355294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937</v>
      </c>
      <c r="D219" s="149"/>
      <c r="E219" s="31">
        <v>23451837</v>
      </c>
      <c r="F219" s="31">
        <v>7741887</v>
      </c>
      <c r="G219" s="202" t="s">
        <v>845</v>
      </c>
      <c r="H219" s="202" t="s">
        <v>845</v>
      </c>
      <c r="I219" s="202" t="s">
        <v>845</v>
      </c>
      <c r="J219" s="202" t="s">
        <v>845</v>
      </c>
      <c r="K219" s="155"/>
    </row>
    <row r="220" spans="1:11" x14ac:dyDescent="0.2">
      <c r="A220" s="99">
        <v>4021</v>
      </c>
      <c r="B220" s="100"/>
      <c r="C220" s="101" t="s">
        <v>939</v>
      </c>
      <c r="D220" s="149"/>
      <c r="E220" s="31">
        <v>40317564</v>
      </c>
      <c r="F220" s="31">
        <v>1837946</v>
      </c>
      <c r="G220" s="202" t="s">
        <v>845</v>
      </c>
      <c r="H220" s="202" t="s">
        <v>845</v>
      </c>
      <c r="I220" s="202" t="s">
        <v>845</v>
      </c>
      <c r="J220" s="202" t="s">
        <v>845</v>
      </c>
      <c r="K220" s="155"/>
    </row>
    <row r="221" spans="1:11" x14ac:dyDescent="0.2">
      <c r="A221" s="99">
        <v>4022</v>
      </c>
      <c r="B221" s="100"/>
      <c r="C221" s="101" t="s">
        <v>941</v>
      </c>
      <c r="D221" s="149"/>
      <c r="E221" s="31">
        <v>13771006</v>
      </c>
      <c r="F221" s="31">
        <v>6798528</v>
      </c>
      <c r="G221" s="202" t="s">
        <v>845</v>
      </c>
      <c r="H221" s="202" t="s">
        <v>845</v>
      </c>
      <c r="I221" s="202" t="s">
        <v>845</v>
      </c>
      <c r="J221" s="202" t="s">
        <v>845</v>
      </c>
      <c r="K221" s="155"/>
    </row>
    <row r="222" spans="1:11" x14ac:dyDescent="0.2">
      <c r="A222" s="99">
        <v>4023</v>
      </c>
      <c r="B222" s="100"/>
      <c r="C222" s="101" t="s">
        <v>943</v>
      </c>
      <c r="D222" s="149"/>
      <c r="E222" s="31">
        <v>8635137</v>
      </c>
      <c r="F222" s="31">
        <v>619015</v>
      </c>
      <c r="G222" s="202" t="s">
        <v>845</v>
      </c>
      <c r="H222" s="202" t="s">
        <v>845</v>
      </c>
      <c r="I222" s="202" t="s">
        <v>845</v>
      </c>
      <c r="J222" s="202" t="s">
        <v>845</v>
      </c>
      <c r="K222" s="155"/>
    </row>
    <row r="223" spans="1:11" x14ac:dyDescent="0.2">
      <c r="A223" s="99">
        <v>4024</v>
      </c>
      <c r="B223" s="100"/>
      <c r="C223" s="101" t="s">
        <v>945</v>
      </c>
      <c r="D223" s="149"/>
      <c r="E223" s="31">
        <v>7844076</v>
      </c>
      <c r="F223" s="31">
        <v>372435</v>
      </c>
      <c r="G223" s="202" t="s">
        <v>845</v>
      </c>
      <c r="H223" s="202" t="s">
        <v>845</v>
      </c>
      <c r="I223" s="202" t="s">
        <v>845</v>
      </c>
      <c r="J223" s="202" t="s">
        <v>845</v>
      </c>
      <c r="K223" s="155"/>
    </row>
    <row r="224" spans="1:11" x14ac:dyDescent="0.2">
      <c r="A224" s="99">
        <v>4025</v>
      </c>
      <c r="B224" s="100"/>
      <c r="C224" s="101" t="s">
        <v>947</v>
      </c>
      <c r="D224" s="149"/>
      <c r="E224" s="31">
        <v>26119022</v>
      </c>
      <c r="F224" s="31">
        <v>22023289</v>
      </c>
      <c r="G224" s="202" t="s">
        <v>845</v>
      </c>
      <c r="H224" s="202" t="s">
        <v>845</v>
      </c>
      <c r="I224" s="202" t="s">
        <v>845</v>
      </c>
      <c r="J224" s="202" t="s">
        <v>845</v>
      </c>
      <c r="K224" s="155"/>
    </row>
    <row r="225" spans="1:11" x14ac:dyDescent="0.2">
      <c r="A225" s="99">
        <v>4026</v>
      </c>
      <c r="B225" s="100"/>
      <c r="C225" s="101" t="s">
        <v>949</v>
      </c>
      <c r="D225" s="149"/>
      <c r="E225" s="31">
        <v>13289409</v>
      </c>
      <c r="F225" s="31">
        <v>974832</v>
      </c>
      <c r="G225" s="202" t="s">
        <v>845</v>
      </c>
      <c r="H225" s="202" t="s">
        <v>845</v>
      </c>
      <c r="I225" s="202" t="s">
        <v>845</v>
      </c>
      <c r="J225" s="202" t="s">
        <v>845</v>
      </c>
      <c r="K225" s="155"/>
    </row>
    <row r="226" spans="1:11" x14ac:dyDescent="0.2">
      <c r="A226" s="99">
        <v>4027</v>
      </c>
      <c r="B226" s="100"/>
      <c r="C226" s="101" t="s">
        <v>951</v>
      </c>
      <c r="D226" s="149"/>
      <c r="E226" s="31">
        <v>3485137</v>
      </c>
      <c r="F226" s="31">
        <v>2071131</v>
      </c>
      <c r="G226" s="202" t="s">
        <v>845</v>
      </c>
      <c r="H226" s="202" t="s">
        <v>845</v>
      </c>
      <c r="I226" s="202" t="s">
        <v>845</v>
      </c>
      <c r="J226" s="202" t="s">
        <v>845</v>
      </c>
      <c r="K226" s="155"/>
    </row>
    <row r="227" spans="1:11" x14ac:dyDescent="0.2">
      <c r="A227" s="99">
        <v>4028</v>
      </c>
      <c r="B227" s="100"/>
      <c r="C227" s="101" t="s">
        <v>265</v>
      </c>
      <c r="D227" s="149"/>
      <c r="E227" s="31">
        <v>9771206</v>
      </c>
      <c r="F227" s="31">
        <v>847763</v>
      </c>
      <c r="G227" s="202" t="s">
        <v>845</v>
      </c>
      <c r="H227" s="202" t="s">
        <v>845</v>
      </c>
      <c r="I227" s="202" t="s">
        <v>845</v>
      </c>
      <c r="J227" s="202" t="s">
        <v>845</v>
      </c>
      <c r="K227" s="155"/>
    </row>
    <row r="228" spans="1:11" x14ac:dyDescent="0.2">
      <c r="A228" s="99">
        <v>4029</v>
      </c>
      <c r="B228" s="100"/>
      <c r="C228" s="101" t="s">
        <v>953</v>
      </c>
      <c r="D228" s="149"/>
      <c r="E228" s="31">
        <v>30174525</v>
      </c>
      <c r="F228" s="31">
        <v>11292893</v>
      </c>
      <c r="G228" s="202" t="s">
        <v>845</v>
      </c>
      <c r="H228" s="202" t="s">
        <v>845</v>
      </c>
      <c r="I228" s="202" t="s">
        <v>845</v>
      </c>
      <c r="J228" s="202" t="s">
        <v>845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823</v>
      </c>
      <c r="D230" s="149"/>
      <c r="E230" s="31">
        <v>53348064</v>
      </c>
      <c r="F230" s="31">
        <v>32941581</v>
      </c>
      <c r="G230" s="31">
        <v>0</v>
      </c>
      <c r="H230" s="31">
        <f>117342499-3525693+64024000+58844062+11650547+2695496+610298</f>
        <v>251641209</v>
      </c>
      <c r="I230" s="31">
        <v>0</v>
      </c>
      <c r="J230" s="31">
        <f>E230+F230+G230+H230-I230</f>
        <v>337930854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957</v>
      </c>
      <c r="D232" s="149"/>
      <c r="E232" s="31">
        <f>SUM(E233:E237)</f>
        <v>67144145</v>
      </c>
      <c r="F232" s="31">
        <f>SUM(F233:F237)</f>
        <v>1087009</v>
      </c>
      <c r="G232" s="31">
        <f>SUM(G233:G237)</f>
        <v>700000</v>
      </c>
      <c r="H232" s="31">
        <v>730000</v>
      </c>
      <c r="I232" s="31">
        <f>SUM(I233:I237)</f>
        <v>0</v>
      </c>
      <c r="J232" s="31">
        <f>E232+F232+G232+H232-I232</f>
        <v>69661154</v>
      </c>
      <c r="K232" s="103" t="e">
        <f t="shared" ref="K232:K237" si="15">J232/J$184*100</f>
        <v>#REF!</v>
      </c>
    </row>
    <row r="233" spans="1:11" x14ac:dyDescent="0.2">
      <c r="A233" s="99">
        <v>4030</v>
      </c>
      <c r="B233" s="100"/>
      <c r="C233" s="101" t="s">
        <v>959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5"/>
        <v>#REF!</v>
      </c>
    </row>
    <row r="234" spans="1:11" x14ac:dyDescent="0.2">
      <c r="A234" s="99">
        <v>4031</v>
      </c>
      <c r="B234" s="100"/>
      <c r="C234" s="101" t="s">
        <v>961</v>
      </c>
      <c r="D234" s="149"/>
      <c r="E234" s="31">
        <v>8855703</v>
      </c>
      <c r="F234" s="31">
        <v>828665</v>
      </c>
      <c r="G234" s="31">
        <v>700000</v>
      </c>
      <c r="H234" s="31">
        <v>0</v>
      </c>
      <c r="I234" s="31"/>
      <c r="J234" s="31">
        <f>E234+F234+G234+H234</f>
        <v>10384368</v>
      </c>
      <c r="K234" s="103" t="e">
        <f t="shared" si="15"/>
        <v>#REF!</v>
      </c>
    </row>
    <row r="235" spans="1:11" x14ac:dyDescent="0.2">
      <c r="A235" s="99">
        <v>4032</v>
      </c>
      <c r="B235" s="100"/>
      <c r="C235" s="101" t="s">
        <v>963</v>
      </c>
      <c r="D235" s="149"/>
      <c r="E235" s="31">
        <v>180000</v>
      </c>
      <c r="F235" s="31">
        <v>25567</v>
      </c>
      <c r="G235" s="31"/>
      <c r="H235" s="31">
        <v>0</v>
      </c>
      <c r="I235" s="31"/>
      <c r="J235" s="31">
        <f>E235+F235+G235+H235</f>
        <v>205567</v>
      </c>
      <c r="K235" s="103" t="e">
        <f t="shared" si="15"/>
        <v>#REF!</v>
      </c>
    </row>
    <row r="236" spans="1:11" x14ac:dyDescent="0.2">
      <c r="A236" s="99">
        <v>4033</v>
      </c>
      <c r="B236" s="100"/>
      <c r="C236" s="101" t="s">
        <v>965</v>
      </c>
      <c r="D236" s="149"/>
      <c r="E236" s="31">
        <v>0</v>
      </c>
      <c r="F236" s="31">
        <v>219409</v>
      </c>
      <c r="G236" s="31"/>
      <c r="H236" s="31">
        <v>0</v>
      </c>
      <c r="I236" s="31"/>
      <c r="J236" s="31">
        <f>E236+F236+G236+H236</f>
        <v>219409</v>
      </c>
      <c r="K236" s="103" t="e">
        <f t="shared" si="15"/>
        <v>#REF!</v>
      </c>
    </row>
    <row r="237" spans="1:11" x14ac:dyDescent="0.2">
      <c r="A237" s="99">
        <v>4034</v>
      </c>
      <c r="B237" s="100"/>
      <c r="C237" s="101" t="s">
        <v>967</v>
      </c>
      <c r="D237" s="149"/>
      <c r="E237" s="31">
        <v>58108442</v>
      </c>
      <c r="F237" s="31">
        <v>13368</v>
      </c>
      <c r="G237" s="31"/>
      <c r="H237" s="31">
        <v>0</v>
      </c>
      <c r="I237" s="31"/>
      <c r="J237" s="31">
        <f>E237+F237+G237+H237</f>
        <v>58121810</v>
      </c>
      <c r="K237" s="103" t="e">
        <f t="shared" si="15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969</v>
      </c>
      <c r="D239" s="149"/>
      <c r="E239" s="31">
        <f>SUM(E240:E244)</f>
        <v>27420706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27420706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971</v>
      </c>
      <c r="D240" s="149"/>
      <c r="E240" s="31">
        <v>2328755</v>
      </c>
      <c r="F240" s="31">
        <v>0</v>
      </c>
      <c r="G240" s="31">
        <v>0</v>
      </c>
      <c r="H240" s="31">
        <v>0</v>
      </c>
      <c r="I240" s="31"/>
      <c r="J240" s="31">
        <f>E240+F240+G240+H240</f>
        <v>2328755</v>
      </c>
      <c r="K240" s="103"/>
    </row>
    <row r="241" spans="1:11" x14ac:dyDescent="0.2">
      <c r="A241" s="99">
        <v>4041</v>
      </c>
      <c r="B241" s="100"/>
      <c r="C241" s="101" t="s">
        <v>973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975</v>
      </c>
      <c r="D242" s="149"/>
      <c r="E242" s="31">
        <v>1378313</v>
      </c>
      <c r="F242" s="31">
        <v>0</v>
      </c>
      <c r="G242" s="31">
        <v>0</v>
      </c>
      <c r="H242" s="31">
        <v>0</v>
      </c>
      <c r="I242" s="31"/>
      <c r="J242" s="31">
        <f>E242+F242+G242+H242</f>
        <v>1378313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977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834</v>
      </c>
      <c r="D244" s="149"/>
      <c r="E244" s="31">
        <v>23713638</v>
      </c>
      <c r="F244" s="31">
        <v>0</v>
      </c>
      <c r="G244" s="31">
        <v>0</v>
      </c>
      <c r="H244" s="31">
        <v>0</v>
      </c>
      <c r="I244" s="31"/>
      <c r="J244" s="31">
        <f>E244+F244+G244+H244</f>
        <v>23713638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979</v>
      </c>
      <c r="D246" s="149"/>
      <c r="E246" s="31">
        <f>+E247+E248+E249+E250</f>
        <v>32100000</v>
      </c>
      <c r="F246" s="31">
        <v>1756212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33856212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981</v>
      </c>
      <c r="D247" s="149"/>
      <c r="E247" s="31">
        <v>20000000</v>
      </c>
      <c r="F247" s="31"/>
      <c r="G247" s="31">
        <v>0</v>
      </c>
      <c r="H247" s="31">
        <v>0</v>
      </c>
      <c r="I247" s="31"/>
      <c r="J247" s="31">
        <f>E247+F247+G247+H247-I247</f>
        <v>20000000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983</v>
      </c>
      <c r="D248" s="149"/>
      <c r="E248" s="31">
        <v>7000000</v>
      </c>
      <c r="F248" s="31"/>
      <c r="G248" s="31">
        <v>0</v>
      </c>
      <c r="H248" s="31">
        <v>0</v>
      </c>
      <c r="I248" s="31"/>
      <c r="J248" s="31">
        <f>E248+F248+G248+H248-I248</f>
        <v>7000000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985</v>
      </c>
      <c r="D249" s="149"/>
      <c r="E249" s="31">
        <v>0</v>
      </c>
      <c r="F249" s="31"/>
      <c r="G249" s="31">
        <v>0</v>
      </c>
      <c r="H249" s="31">
        <v>0</v>
      </c>
      <c r="I249" s="31"/>
      <c r="J249" s="31">
        <f>E249+F249+G249+H249-I249</f>
        <v>0</v>
      </c>
      <c r="K249" s="103"/>
    </row>
    <row r="250" spans="1:11" x14ac:dyDescent="0.2">
      <c r="A250" s="99">
        <v>4093</v>
      </c>
      <c r="B250" s="100"/>
      <c r="C250" s="101" t="s">
        <v>875</v>
      </c>
      <c r="D250" s="149"/>
      <c r="E250" s="31">
        <v>5100000</v>
      </c>
      <c r="F250" s="31"/>
      <c r="G250" s="31"/>
      <c r="H250" s="31"/>
      <c r="I250" s="31"/>
      <c r="J250" s="31">
        <f>E250+F250+G250+H250-I250</f>
        <v>5100000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987</v>
      </c>
      <c r="D252" s="146"/>
      <c r="E252" s="32">
        <f>E255+E260+E271+E275+E285</f>
        <v>670348357</v>
      </c>
      <c r="F252" s="32">
        <f>F255+F260+F271+F275+F285</f>
        <v>67605245</v>
      </c>
      <c r="G252" s="32">
        <f>G255+G260+G271+G275+G285</f>
        <v>878081469</v>
      </c>
      <c r="H252" s="32">
        <f>H255+H260+H271+H275+H285</f>
        <v>52990045</v>
      </c>
      <c r="I252" s="32">
        <f>I255+I260+I271+I275+I285</f>
        <v>395666124</v>
      </c>
      <c r="J252" s="32">
        <f>E252+F252+G252+H252-I252</f>
        <v>1273358992</v>
      </c>
      <c r="K252" s="92" t="e">
        <f>J252/J$184*100</f>
        <v>#REF!</v>
      </c>
    </row>
    <row r="253" spans="1:11" x14ac:dyDescent="0.2">
      <c r="A253" s="147"/>
      <c r="B253" s="148"/>
      <c r="C253" s="96" t="s">
        <v>989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990</v>
      </c>
      <c r="D255" s="149"/>
      <c r="E255" s="31">
        <f>E256+E257+E258</f>
        <v>110248611</v>
      </c>
      <c r="F255" s="31">
        <f>F256+F257+F258</f>
        <v>4373428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114622039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992</v>
      </c>
      <c r="D256" s="149"/>
      <c r="E256" s="31">
        <v>27300499</v>
      </c>
      <c r="F256" s="31">
        <v>1022196</v>
      </c>
      <c r="G256" s="31">
        <v>0</v>
      </c>
      <c r="H256" s="31">
        <v>0</v>
      </c>
      <c r="I256" s="31"/>
      <c r="J256" s="31">
        <f>E256+F256+G256+H256</f>
        <v>28322695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994</v>
      </c>
      <c r="D257" s="149"/>
      <c r="E257" s="31">
        <v>0</v>
      </c>
      <c r="F257" s="31">
        <v>0</v>
      </c>
      <c r="G257" s="31">
        <v>0</v>
      </c>
      <c r="H257" s="31">
        <v>0</v>
      </c>
      <c r="I257" s="31"/>
      <c r="J257" s="31">
        <f>E257+F257+G257+H257</f>
        <v>0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996</v>
      </c>
      <c r="D258" s="149"/>
      <c r="E258" s="31">
        <v>82948112</v>
      </c>
      <c r="F258" s="31">
        <v>3351232</v>
      </c>
      <c r="G258" s="31">
        <v>0</v>
      </c>
      <c r="H258" s="31">
        <v>0</v>
      </c>
      <c r="I258" s="31"/>
      <c r="J258" s="31">
        <f>E258+F258+G258+H258</f>
        <v>86299344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998</v>
      </c>
      <c r="D260" s="149"/>
      <c r="E260" s="31">
        <f>SUM(E261:E269)</f>
        <v>223699793</v>
      </c>
      <c r="F260" s="31">
        <f>SUM(F261:F269)</f>
        <v>39880398</v>
      </c>
      <c r="G260" s="31">
        <f>SUM(G261:G269)</f>
        <v>809239849</v>
      </c>
      <c r="H260" s="31">
        <f>SUM(H261:H269)</f>
        <v>47996186</v>
      </c>
      <c r="I260" s="31">
        <f>SUM(I261:I269)</f>
        <v>3644178</v>
      </c>
      <c r="J260" s="31">
        <f>E260+F260+G260+H260-I260</f>
        <v>1117172048</v>
      </c>
      <c r="K260" s="103" t="e">
        <f t="shared" ref="K260:K269" si="16">J260/J$184*100</f>
        <v>#REF!</v>
      </c>
    </row>
    <row r="261" spans="1:11" x14ac:dyDescent="0.2">
      <c r="A261" s="99">
        <v>4110</v>
      </c>
      <c r="B261" s="100"/>
      <c r="C261" s="101" t="s">
        <v>1000</v>
      </c>
      <c r="D261" s="149"/>
      <c r="E261" s="31">
        <v>24086119</v>
      </c>
      <c r="F261" s="31">
        <v>129333</v>
      </c>
      <c r="G261" s="31">
        <v>0</v>
      </c>
      <c r="H261" s="31"/>
      <c r="I261" s="429">
        <f>+F144+G140+H141</f>
        <v>3644178</v>
      </c>
      <c r="J261" s="109">
        <f>E261+F261+G261+H261-I261</f>
        <v>20571274</v>
      </c>
      <c r="K261" s="103" t="e">
        <f t="shared" si="16"/>
        <v>#REF!</v>
      </c>
    </row>
    <row r="262" spans="1:11" x14ac:dyDescent="0.2">
      <c r="A262" s="99">
        <v>4111</v>
      </c>
      <c r="B262" s="100"/>
      <c r="C262" s="101" t="s">
        <v>1002</v>
      </c>
      <c r="D262" s="149"/>
      <c r="E262" s="31">
        <v>106394726</v>
      </c>
      <c r="F262" s="31">
        <v>176277</v>
      </c>
      <c r="G262" s="31">
        <v>0</v>
      </c>
      <c r="H262" s="31"/>
      <c r="I262" s="31"/>
      <c r="J262" s="109">
        <f>E262+F262+G262+H262-I262</f>
        <v>106571003</v>
      </c>
      <c r="K262" s="103" t="e">
        <f t="shared" si="16"/>
        <v>#REF!</v>
      </c>
    </row>
    <row r="263" spans="1:11" x14ac:dyDescent="0.2">
      <c r="A263" s="99">
        <v>4112</v>
      </c>
      <c r="B263" s="100"/>
      <c r="C263" s="101" t="s">
        <v>1004</v>
      </c>
      <c r="D263" s="149"/>
      <c r="E263" s="31">
        <v>38040996</v>
      </c>
      <c r="F263" s="31">
        <v>658947</v>
      </c>
      <c r="G263" s="31">
        <v>40037235</v>
      </c>
      <c r="H263" s="31"/>
      <c r="I263" s="31"/>
      <c r="J263" s="31">
        <f>E263+F263+G263+H263</f>
        <v>78737178</v>
      </c>
      <c r="K263" s="103" t="e">
        <f t="shared" si="16"/>
        <v>#REF!</v>
      </c>
    </row>
    <row r="264" spans="1:11" x14ac:dyDescent="0.2">
      <c r="A264" s="99">
        <v>4113</v>
      </c>
      <c r="B264" s="100"/>
      <c r="C264" s="101" t="s">
        <v>1006</v>
      </c>
      <c r="D264" s="149"/>
      <c r="E264" s="31">
        <v>20640481</v>
      </c>
      <c r="F264" s="31">
        <v>8554</v>
      </c>
      <c r="G264" s="31">
        <v>0</v>
      </c>
      <c r="H264" s="31"/>
      <c r="I264" s="31"/>
      <c r="J264" s="31">
        <f>E264+F264+G264+H264</f>
        <v>20649035</v>
      </c>
      <c r="K264" s="103" t="e">
        <f t="shared" si="16"/>
        <v>#REF!</v>
      </c>
    </row>
    <row r="265" spans="1:11" x14ac:dyDescent="0.2">
      <c r="A265" s="99">
        <v>4114</v>
      </c>
      <c r="B265" s="100"/>
      <c r="C265" s="101" t="s">
        <v>1008</v>
      </c>
      <c r="D265" s="149"/>
      <c r="E265" s="31">
        <v>0</v>
      </c>
      <c r="F265" s="31">
        <v>0</v>
      </c>
      <c r="G265" s="31">
        <v>727755678</v>
      </c>
      <c r="H265" s="31"/>
      <c r="I265" s="31"/>
      <c r="J265" s="31">
        <f>E265+F265+G265+H265</f>
        <v>727755678</v>
      </c>
      <c r="K265" s="103" t="e">
        <f t="shared" si="16"/>
        <v>#REF!</v>
      </c>
    </row>
    <row r="266" spans="1:11" x14ac:dyDescent="0.2">
      <c r="A266" s="99">
        <v>4115</v>
      </c>
      <c r="B266" s="100"/>
      <c r="C266" s="101" t="s">
        <v>1010</v>
      </c>
      <c r="D266" s="149"/>
      <c r="E266" s="31">
        <v>0</v>
      </c>
      <c r="F266" s="31">
        <v>0</v>
      </c>
      <c r="G266" s="31">
        <v>41427260</v>
      </c>
      <c r="H266" s="31"/>
      <c r="I266" s="31"/>
      <c r="J266" s="31">
        <f>E266+F266+G266+H266</f>
        <v>41427260</v>
      </c>
      <c r="K266" s="103" t="e">
        <f t="shared" si="16"/>
        <v>#REF!</v>
      </c>
    </row>
    <row r="267" spans="1:11" x14ac:dyDescent="0.2">
      <c r="A267" s="99">
        <v>4116</v>
      </c>
      <c r="B267" s="100"/>
      <c r="C267" s="101" t="s">
        <v>1012</v>
      </c>
      <c r="D267" s="149"/>
      <c r="E267" s="31">
        <v>0</v>
      </c>
      <c r="F267" s="31">
        <v>0</v>
      </c>
      <c r="G267" s="31">
        <v>0</v>
      </c>
      <c r="H267" s="31">
        <v>44792713</v>
      </c>
      <c r="I267" s="31"/>
      <c r="J267" s="109">
        <f>E267+F267+G267+H267-I267</f>
        <v>44792713</v>
      </c>
      <c r="K267" s="103" t="e">
        <f t="shared" si="16"/>
        <v>#REF!</v>
      </c>
    </row>
    <row r="268" spans="1:11" x14ac:dyDescent="0.2">
      <c r="A268" s="99">
        <v>4117</v>
      </c>
      <c r="B268" s="100"/>
      <c r="C268" s="101" t="s">
        <v>1014</v>
      </c>
      <c r="D268" s="149"/>
      <c r="E268" s="31">
        <v>23430362</v>
      </c>
      <c r="F268" s="31">
        <v>249319</v>
      </c>
      <c r="G268" s="31">
        <v>4502</v>
      </c>
      <c r="H268" s="31">
        <v>0</v>
      </c>
      <c r="I268" s="31"/>
      <c r="J268" s="31">
        <f>E268+F268+G268+H268</f>
        <v>23684183</v>
      </c>
      <c r="K268" s="103" t="e">
        <f t="shared" si="16"/>
        <v>#REF!</v>
      </c>
    </row>
    <row r="269" spans="1:11" x14ac:dyDescent="0.2">
      <c r="A269" s="99">
        <v>4119</v>
      </c>
      <c r="B269" s="100"/>
      <c r="C269" s="101" t="s">
        <v>1016</v>
      </c>
      <c r="D269" s="149"/>
      <c r="E269" s="31">
        <v>11107109</v>
      </c>
      <c r="F269" s="31">
        <v>38657968</v>
      </c>
      <c r="G269" s="31">
        <v>15174</v>
      </c>
      <c r="H269" s="31">
        <v>3203473</v>
      </c>
      <c r="I269" s="31"/>
      <c r="J269" s="31">
        <f>E269+F269+G269+H269-I269</f>
        <v>52983724</v>
      </c>
      <c r="K269" s="103" t="e">
        <f t="shared" si="16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10557279</v>
      </c>
      <c r="F271" s="31">
        <f>F273</f>
        <v>11828154</v>
      </c>
      <c r="G271" s="31">
        <f>G273</f>
        <v>808808</v>
      </c>
      <c r="H271" s="31">
        <f>H273</f>
        <v>1074585</v>
      </c>
      <c r="I271" s="31">
        <f>I273</f>
        <v>0</v>
      </c>
      <c r="J271" s="31">
        <f>E271+F271+G271+H271-I271</f>
        <v>24268826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1" x14ac:dyDescent="0.2">
      <c r="A273" s="99">
        <v>4120</v>
      </c>
      <c r="B273" s="100"/>
      <c r="C273" s="101" t="s">
        <v>4</v>
      </c>
      <c r="D273" s="149"/>
      <c r="E273" s="31">
        <v>10557279</v>
      </c>
      <c r="F273" s="31">
        <v>11828154</v>
      </c>
      <c r="G273" s="31">
        <v>808808</v>
      </c>
      <c r="H273" s="31">
        <v>1074585</v>
      </c>
      <c r="I273" s="31">
        <v>0</v>
      </c>
      <c r="J273" s="31">
        <f>E273+F273+G273+H273</f>
        <v>24268826</v>
      </c>
      <c r="K273" s="103" t="e">
        <f>J273/J$184*100</f>
        <v>#REF!</v>
      </c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1" x14ac:dyDescent="0.2">
      <c r="A275" s="99">
        <v>413</v>
      </c>
      <c r="B275" s="100"/>
      <c r="C275" s="101" t="s">
        <v>6</v>
      </c>
      <c r="D275" s="149"/>
      <c r="E275" s="31">
        <f>+E277+E280+E281+E282</f>
        <v>322956264</v>
      </c>
      <c r="F275" s="31">
        <f>+F277+F280+F281</f>
        <v>11523265</v>
      </c>
      <c r="G275" s="31">
        <f>+G277+G280+G281</f>
        <v>68032812</v>
      </c>
      <c r="H275" s="31">
        <f>+H277+H280+H281+H282</f>
        <v>807983</v>
      </c>
      <c r="I275" s="31">
        <f>+I277+I280+I281+I282</f>
        <v>392021946</v>
      </c>
      <c r="J275" s="31">
        <f>E275+F275+G275+H275-I275</f>
        <v>11298378</v>
      </c>
      <c r="K275" s="103" t="e">
        <f>J275/J$184*100</f>
        <v>#REF!</v>
      </c>
    </row>
    <row r="276" spans="1:11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1" x14ac:dyDescent="0.2">
      <c r="A277" s="106">
        <v>4130</v>
      </c>
      <c r="B277" s="107"/>
      <c r="C277" s="108" t="s">
        <v>8</v>
      </c>
      <c r="D277" s="153"/>
      <c r="E277" s="109">
        <v>49350288</v>
      </c>
      <c r="F277" s="109">
        <v>5853029</v>
      </c>
      <c r="G277" s="109">
        <v>0</v>
      </c>
      <c r="H277" s="109">
        <v>0</v>
      </c>
      <c r="I277" s="429">
        <f>+F134+F135+F278</f>
        <v>52603551</v>
      </c>
      <c r="J277" s="109">
        <f>E277+F277+G277+H277-I277</f>
        <v>2599766</v>
      </c>
      <c r="K277" s="103"/>
    </row>
    <row r="278" spans="1:11" x14ac:dyDescent="0.2">
      <c r="A278" s="106">
        <v>413003</v>
      </c>
      <c r="B278" s="107"/>
      <c r="C278" s="108" t="s">
        <v>930</v>
      </c>
      <c r="D278" s="157"/>
      <c r="E278" s="113"/>
      <c r="F278" s="113">
        <v>2542751</v>
      </c>
      <c r="G278" s="113"/>
      <c r="H278" s="113"/>
      <c r="I278" s="113"/>
      <c r="J278" s="113"/>
      <c r="K278" s="110"/>
    </row>
    <row r="279" spans="1:11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1" x14ac:dyDescent="0.2">
      <c r="A280" s="106">
        <v>4131</v>
      </c>
      <c r="B280" s="107"/>
      <c r="C280" s="108" t="s">
        <v>10</v>
      </c>
      <c r="D280" s="153"/>
      <c r="E280" s="109">
        <v>267653153</v>
      </c>
      <c r="F280" s="109">
        <v>3598379</v>
      </c>
      <c r="G280" s="109">
        <v>68032812</v>
      </c>
      <c r="H280" s="109">
        <v>800209</v>
      </c>
      <c r="I280" s="429">
        <f>G134+G136+G137+G138+G144+H137+H139+H143+H144</f>
        <v>339308739</v>
      </c>
      <c r="J280" s="109">
        <f>E280+F280+G280+H280-I280</f>
        <v>775814</v>
      </c>
      <c r="K280" s="104"/>
    </row>
    <row r="281" spans="1:11" x14ac:dyDescent="0.2">
      <c r="A281" s="106">
        <v>4132</v>
      </c>
      <c r="B281" s="107"/>
      <c r="C281" s="108" t="s">
        <v>15</v>
      </c>
      <c r="D281" s="153"/>
      <c r="E281" s="109">
        <v>5853304</v>
      </c>
      <c r="F281" s="109">
        <v>2071857</v>
      </c>
      <c r="G281" s="109">
        <v>0</v>
      </c>
      <c r="H281" s="109">
        <v>0</v>
      </c>
      <c r="I281" s="429">
        <v>0</v>
      </c>
      <c r="J281" s="109">
        <f>E281+F281+G281+H281-I281</f>
        <v>7925161</v>
      </c>
      <c r="K281" s="103"/>
    </row>
    <row r="282" spans="1:11" x14ac:dyDescent="0.2">
      <c r="A282" s="106">
        <v>4134</v>
      </c>
      <c r="B282" s="107"/>
      <c r="C282" s="108" t="s">
        <v>840</v>
      </c>
      <c r="D282" s="153"/>
      <c r="E282" s="109">
        <v>99519</v>
      </c>
      <c r="F282" s="109">
        <v>0</v>
      </c>
      <c r="G282" s="109">
        <v>0</v>
      </c>
      <c r="H282" s="109">
        <v>7774</v>
      </c>
      <c r="I282" s="428">
        <f>+E131</f>
        <v>109656</v>
      </c>
      <c r="J282" s="109">
        <f>E282+F282+G282+H282-I282</f>
        <v>-2363</v>
      </c>
      <c r="K282" s="103"/>
    </row>
    <row r="283" spans="1:11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x14ac:dyDescent="0.2">
      <c r="A285" s="99">
        <v>414</v>
      </c>
      <c r="B285" s="100"/>
      <c r="C285" s="101" t="s">
        <v>25</v>
      </c>
      <c r="D285" s="149"/>
      <c r="E285" s="31">
        <f>SUM(E286:E289)</f>
        <v>2886410</v>
      </c>
      <c r="F285" s="31">
        <v>0</v>
      </c>
      <c r="G285" s="31">
        <f>SUM(G286:G289)</f>
        <v>0</v>
      </c>
      <c r="H285" s="31">
        <f>SUM(H286:H289)</f>
        <v>3111291</v>
      </c>
      <c r="I285" s="31">
        <f>SUM(I286:I289)</f>
        <v>0</v>
      </c>
      <c r="J285" s="31">
        <f>E285+F285+G285+H285-I285</f>
        <v>5997701</v>
      </c>
      <c r="K285" s="103" t="e">
        <f>J285/J$184*100</f>
        <v>#REF!</v>
      </c>
    </row>
    <row r="286" spans="1:11" x14ac:dyDescent="0.2">
      <c r="A286" s="99">
        <v>4140</v>
      </c>
      <c r="B286" s="100"/>
      <c r="C286" s="101" t="s">
        <v>27</v>
      </c>
      <c r="D286" s="149"/>
      <c r="E286" s="31">
        <v>175692</v>
      </c>
      <c r="F286" s="31">
        <v>0</v>
      </c>
      <c r="G286" s="31">
        <v>0</v>
      </c>
      <c r="H286" s="31"/>
      <c r="I286" s="31"/>
      <c r="J286" s="31">
        <f>E286+F286+G286+H286-I286</f>
        <v>175692</v>
      </c>
      <c r="K286" s="103" t="e">
        <f>J286/J$184*100</f>
        <v>#REF!</v>
      </c>
    </row>
    <row r="287" spans="1:11" x14ac:dyDescent="0.2">
      <c r="A287" s="99">
        <v>4141</v>
      </c>
      <c r="B287" s="100"/>
      <c r="C287" s="101" t="s">
        <v>29</v>
      </c>
      <c r="D287" s="149"/>
      <c r="E287" s="31">
        <v>527248</v>
      </c>
      <c r="F287" s="31">
        <v>0</v>
      </c>
      <c r="G287" s="31">
        <v>0</v>
      </c>
      <c r="H287" s="31"/>
      <c r="I287" s="31"/>
      <c r="J287" s="31">
        <f>E287+F287+G287+H287-I287</f>
        <v>527248</v>
      </c>
      <c r="K287" s="103" t="e">
        <f>J287/J$184*100</f>
        <v>#REF!</v>
      </c>
    </row>
    <row r="288" spans="1:11" x14ac:dyDescent="0.2">
      <c r="A288" s="99">
        <v>4142</v>
      </c>
      <c r="B288" s="100"/>
      <c r="C288" s="101" t="s">
        <v>31</v>
      </c>
      <c r="D288" s="149"/>
      <c r="E288" s="31">
        <v>294876</v>
      </c>
      <c r="F288" s="31">
        <v>0</v>
      </c>
      <c r="G288" s="31">
        <v>0</v>
      </c>
      <c r="H288" s="31">
        <v>3111291</v>
      </c>
      <c r="I288" s="31"/>
      <c r="J288" s="31">
        <f>E288+F288+G288+H288-I288</f>
        <v>3406167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1888594</v>
      </c>
      <c r="F289" s="31">
        <v>0</v>
      </c>
      <c r="G289" s="31">
        <v>0</v>
      </c>
      <c r="H289" s="31"/>
      <c r="I289" s="31"/>
      <c r="J289" s="31">
        <f>E289+F289+G289+H289-I289</f>
        <v>1888594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88517691</v>
      </c>
      <c r="F291" s="32">
        <f>F293</f>
        <v>93932657</v>
      </c>
      <c r="G291" s="32">
        <f>G293</f>
        <v>400000</v>
      </c>
      <c r="H291" s="32">
        <f>H293</f>
        <v>1086806</v>
      </c>
      <c r="I291" s="32">
        <f>I293</f>
        <v>0</v>
      </c>
      <c r="J291" s="32">
        <f>E291+F291+G291+H291-I291</f>
        <v>183937154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88517691</v>
      </c>
      <c r="F293" s="31">
        <f>SUM(F294:F303)</f>
        <v>93932657</v>
      </c>
      <c r="G293" s="31">
        <v>400000</v>
      </c>
      <c r="H293" s="31">
        <v>1086806</v>
      </c>
      <c r="I293" s="31">
        <f>SUM(I294:I303)</f>
        <v>0</v>
      </c>
      <c r="J293" s="31">
        <f>E293+F293+G293+H293-I293</f>
        <v>183937154</v>
      </c>
      <c r="K293" s="103" t="e">
        <f t="shared" ref="K293:K303" si="17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3841257</v>
      </c>
      <c r="F294" s="31">
        <v>3416600</v>
      </c>
      <c r="G294" s="31"/>
      <c r="H294" s="31">
        <v>0</v>
      </c>
      <c r="I294" s="31"/>
      <c r="J294" s="31">
        <f t="shared" ref="J294:J303" si="18">E294+F294+G294+H294-I294</f>
        <v>7257857</v>
      </c>
      <c r="K294" s="103" t="e">
        <f t="shared" si="17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2305502</v>
      </c>
      <c r="F295" s="31">
        <v>368652</v>
      </c>
      <c r="G295" s="31"/>
      <c r="H295" s="31">
        <v>0</v>
      </c>
      <c r="I295" s="31"/>
      <c r="J295" s="31">
        <f t="shared" si="18"/>
        <v>2674154</v>
      </c>
      <c r="K295" s="103" t="e">
        <f t="shared" si="17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21526440</v>
      </c>
      <c r="F296" s="31">
        <v>3857060</v>
      </c>
      <c r="G296" s="31"/>
      <c r="H296" s="31">
        <v>0</v>
      </c>
      <c r="I296" s="31"/>
      <c r="J296" s="31">
        <f t="shared" si="18"/>
        <v>25383500</v>
      </c>
      <c r="K296" s="103" t="e">
        <f t="shared" si="17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47732</v>
      </c>
      <c r="F297" s="31">
        <v>439325</v>
      </c>
      <c r="G297" s="31"/>
      <c r="H297" s="31">
        <v>0</v>
      </c>
      <c r="I297" s="31"/>
      <c r="J297" s="31">
        <f t="shared" si="18"/>
        <v>487057</v>
      </c>
      <c r="K297" s="103" t="e">
        <f t="shared" si="17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37221831</v>
      </c>
      <c r="F298" s="31">
        <v>56356910</v>
      </c>
      <c r="G298" s="31"/>
      <c r="H298" s="31">
        <v>0</v>
      </c>
      <c r="I298" s="31"/>
      <c r="J298" s="31">
        <f t="shared" si="18"/>
        <v>93578741</v>
      </c>
      <c r="K298" s="103" t="e">
        <f t="shared" si="17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12481890</v>
      </c>
      <c r="F299" s="31">
        <v>14946666</v>
      </c>
      <c r="G299" s="31"/>
      <c r="H299" s="31"/>
      <c r="I299" s="31"/>
      <c r="J299" s="31">
        <f t="shared" si="18"/>
        <v>27428556</v>
      </c>
      <c r="K299" s="103" t="e">
        <f t="shared" si="17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2200455</v>
      </c>
      <c r="F300" s="31">
        <v>6865639</v>
      </c>
      <c r="G300" s="31"/>
      <c r="H300" s="31">
        <v>0</v>
      </c>
      <c r="I300" s="31"/>
      <c r="J300" s="31">
        <f t="shared" si="18"/>
        <v>9066094</v>
      </c>
      <c r="K300" s="103" t="e">
        <f t="shared" si="17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366119</v>
      </c>
      <c r="F301" s="31">
        <v>39803</v>
      </c>
      <c r="G301" s="31"/>
      <c r="H301" s="31">
        <v>0</v>
      </c>
      <c r="I301" s="31"/>
      <c r="J301" s="31">
        <f t="shared" si="18"/>
        <v>405922</v>
      </c>
      <c r="K301" s="103" t="e">
        <f t="shared" si="17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8506144</v>
      </c>
      <c r="F302" s="31">
        <v>7642002</v>
      </c>
      <c r="G302" s="31"/>
      <c r="H302" s="31">
        <v>0</v>
      </c>
      <c r="I302" s="31"/>
      <c r="J302" s="31">
        <f t="shared" si="18"/>
        <v>16148146</v>
      </c>
      <c r="K302" s="103" t="e">
        <f t="shared" si="17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20321</v>
      </c>
      <c r="F303" s="31">
        <v>0</v>
      </c>
      <c r="G303" s="31"/>
      <c r="H303" s="31">
        <v>0</v>
      </c>
      <c r="I303" s="31"/>
      <c r="J303" s="31">
        <f t="shared" si="18"/>
        <v>20321</v>
      </c>
      <c r="K303" s="103" t="e">
        <f t="shared" si="17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89297144</v>
      </c>
      <c r="F305" s="32">
        <f>F307</f>
        <v>37024351</v>
      </c>
      <c r="G305" s="32">
        <f>G307</f>
        <v>0</v>
      </c>
      <c r="H305" s="32">
        <f>H307</f>
        <v>0</v>
      </c>
      <c r="I305" s="32">
        <f>I307</f>
        <v>17408303</v>
      </c>
      <c r="J305" s="32">
        <f>E305+F305+G305+H305-I305</f>
        <v>108913192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89297144</v>
      </c>
      <c r="F307" s="31">
        <f>SUM(F309:F317)</f>
        <v>37024351</v>
      </c>
      <c r="G307" s="31">
        <v>0</v>
      </c>
      <c r="H307" s="31">
        <f>SUM(H309:H317)</f>
        <v>0</v>
      </c>
      <c r="I307" s="31">
        <f>SUM(I309:I317)</f>
        <v>17408303</v>
      </c>
      <c r="J307" s="31">
        <f>E307+F307+G307+H307-I307</f>
        <v>108913192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17639019</v>
      </c>
      <c r="F309" s="109">
        <v>2449560</v>
      </c>
      <c r="G309" s="109">
        <v>0</v>
      </c>
      <c r="H309" s="109">
        <v>0</v>
      </c>
      <c r="I309" s="429">
        <f>F136+F143-F278</f>
        <v>17408303</v>
      </c>
      <c r="J309" s="109">
        <f>E309+F309+G309+H309-I309</f>
        <v>2680276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1016486</v>
      </c>
      <c r="F310" s="31">
        <v>2901583</v>
      </c>
      <c r="G310" s="31">
        <v>0</v>
      </c>
      <c r="H310" s="31">
        <v>0</v>
      </c>
      <c r="I310" s="31"/>
      <c r="J310" s="31">
        <f t="shared" ref="J310:J317" si="19">E310+F310+G310+H310</f>
        <v>3918069</v>
      </c>
      <c r="K310" s="103" t="e">
        <f t="shared" ref="K310:K321" si="20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2848138</v>
      </c>
      <c r="F311" s="31">
        <v>1893065</v>
      </c>
      <c r="G311" s="31">
        <v>0</v>
      </c>
      <c r="H311" s="31">
        <v>0</v>
      </c>
      <c r="I311" s="31"/>
      <c r="J311" s="31">
        <f t="shared" si="19"/>
        <v>4741203</v>
      </c>
      <c r="K311" s="103" t="e">
        <f t="shared" si="20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40719084</v>
      </c>
      <c r="F312" s="31">
        <v>14251120</v>
      </c>
      <c r="G312" s="31">
        <v>0</v>
      </c>
      <c r="H312" s="31">
        <v>0</v>
      </c>
      <c r="I312" s="31"/>
      <c r="J312" s="31">
        <f t="shared" si="19"/>
        <v>54970204</v>
      </c>
      <c r="K312" s="103" t="e">
        <f t="shared" si="20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8667</v>
      </c>
      <c r="G313" s="31">
        <v>0</v>
      </c>
      <c r="H313" s="31">
        <v>0</v>
      </c>
      <c r="I313" s="31"/>
      <c r="J313" s="31">
        <f t="shared" si="19"/>
        <v>8667</v>
      </c>
      <c r="K313" s="103" t="e">
        <f t="shared" si="20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13159768</v>
      </c>
      <c r="F314" s="31">
        <v>1108689</v>
      </c>
      <c r="G314" s="31">
        <v>0</v>
      </c>
      <c r="H314" s="31">
        <v>0</v>
      </c>
      <c r="I314" s="31"/>
      <c r="J314" s="31">
        <f t="shared" si="19"/>
        <v>14268457</v>
      </c>
      <c r="K314" s="103" t="e">
        <f t="shared" si="20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6211013</v>
      </c>
      <c r="F315" s="31">
        <v>189018</v>
      </c>
      <c r="G315" s="31">
        <v>0</v>
      </c>
      <c r="H315" s="31">
        <v>0</v>
      </c>
      <c r="I315" s="31"/>
      <c r="J315" s="31">
        <f t="shared" si="19"/>
        <v>6400031</v>
      </c>
      <c r="K315" s="103" t="e">
        <f t="shared" si="20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7674540</v>
      </c>
      <c r="F316" s="31">
        <v>14222649</v>
      </c>
      <c r="G316" s="31">
        <v>0</v>
      </c>
      <c r="H316" s="31">
        <v>0</v>
      </c>
      <c r="I316" s="31"/>
      <c r="J316" s="31">
        <f t="shared" si="19"/>
        <v>21897189</v>
      </c>
      <c r="K316" s="103" t="e">
        <f t="shared" si="20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83">
        <v>29096</v>
      </c>
      <c r="F317" s="31">
        <v>0</v>
      </c>
      <c r="G317" s="31">
        <v>0</v>
      </c>
      <c r="H317" s="31">
        <v>0</v>
      </c>
      <c r="I317" s="31"/>
      <c r="J317" s="31">
        <f t="shared" si="19"/>
        <v>29096</v>
      </c>
      <c r="K317" s="103" t="e">
        <f t="shared" si="20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913</v>
      </c>
      <c r="D319" s="146"/>
      <c r="E319" s="32">
        <f>+E321</f>
        <v>81044900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81044900</v>
      </c>
      <c r="K319" s="92" t="e">
        <f t="shared" si="20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914</v>
      </c>
      <c r="D321" s="424"/>
      <c r="E321" s="383">
        <f>+E322+E327+E330+E333</f>
        <v>81044900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81044900</v>
      </c>
      <c r="K321" s="103" t="e">
        <f t="shared" si="20"/>
        <v>#REF!</v>
      </c>
    </row>
    <row r="322" spans="1:11" x14ac:dyDescent="0.2">
      <c r="A322" s="204">
        <v>4500</v>
      </c>
      <c r="B322" s="205"/>
      <c r="C322" s="206" t="s">
        <v>915</v>
      </c>
      <c r="D322" s="424"/>
      <c r="E322" s="383">
        <f>+E323+E324+E325</f>
        <v>12441300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12441300</v>
      </c>
      <c r="K322" s="425"/>
    </row>
    <row r="323" spans="1:11" x14ac:dyDescent="0.2">
      <c r="A323" s="204">
        <v>450000</v>
      </c>
      <c r="B323" s="205"/>
      <c r="C323" s="206" t="s">
        <v>916</v>
      </c>
      <c r="D323" s="424"/>
      <c r="E323" s="383">
        <v>12441300</v>
      </c>
      <c r="F323" s="383"/>
      <c r="G323" s="383"/>
      <c r="H323" s="383"/>
      <c r="I323" s="383"/>
      <c r="J323" s="383">
        <f>+E323+F323+G323+H323-I323</f>
        <v>12441300</v>
      </c>
      <c r="K323" s="425"/>
    </row>
    <row r="324" spans="1:11" x14ac:dyDescent="0.2">
      <c r="A324" s="204">
        <v>450001</v>
      </c>
      <c r="B324" s="205"/>
      <c r="C324" s="206" t="s">
        <v>917</v>
      </c>
      <c r="D324" s="424"/>
      <c r="E324" s="383">
        <v>0</v>
      </c>
      <c r="F324" s="383"/>
      <c r="G324" s="383"/>
      <c r="H324" s="383"/>
      <c r="I324" s="383"/>
      <c r="J324" s="383"/>
      <c r="K324" s="425"/>
    </row>
    <row r="325" spans="1:11" x14ac:dyDescent="0.2">
      <c r="A325" s="204">
        <v>450002</v>
      </c>
      <c r="B325" s="205"/>
      <c r="C325" s="206" t="s">
        <v>918</v>
      </c>
      <c r="D325" s="424"/>
      <c r="E325" s="383">
        <v>0</v>
      </c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919</v>
      </c>
      <c r="D327" s="424"/>
      <c r="E327" s="383">
        <f>+E328</f>
        <v>9235100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9235100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920</v>
      </c>
      <c r="D328" s="424"/>
      <c r="E328" s="383">
        <v>9235100</v>
      </c>
      <c r="F328" s="383"/>
      <c r="G328" s="383"/>
      <c r="H328" s="383"/>
      <c r="I328" s="383"/>
      <c r="J328" s="383">
        <f>+E328+F328+G328+H328-I328</f>
        <v>9235100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921</v>
      </c>
      <c r="D330" s="424"/>
      <c r="E330" s="383">
        <f>+E331</f>
        <v>52244300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52244300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922</v>
      </c>
      <c r="D331" s="424"/>
      <c r="E331" s="383">
        <v>52244300</v>
      </c>
      <c r="F331" s="383"/>
      <c r="G331" s="383"/>
      <c r="H331" s="383"/>
      <c r="I331" s="383"/>
      <c r="J331" s="383">
        <f>+E331+F331+G331+H331-I331</f>
        <v>52244300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923</v>
      </c>
      <c r="D333" s="424"/>
      <c r="E333" s="383">
        <f>+E334</f>
        <v>7124200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7124200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924</v>
      </c>
      <c r="D334" s="424"/>
      <c r="E334" s="383">
        <v>7124200</v>
      </c>
      <c r="F334" s="383"/>
      <c r="G334" s="383"/>
      <c r="H334" s="383"/>
      <c r="I334" s="383"/>
      <c r="J334" s="383">
        <f>+E334+F334+G334+H334-I334</f>
        <v>7124200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828</v>
      </c>
      <c r="D338" s="142"/>
      <c r="E338" s="73">
        <f t="shared" ref="E338:J338" si="21">E22-E187</f>
        <v>-236424818</v>
      </c>
      <c r="F338" s="73">
        <f t="shared" si="21"/>
        <v>-3468756</v>
      </c>
      <c r="G338" s="73">
        <f t="shared" si="21"/>
        <v>6375000</v>
      </c>
      <c r="H338" s="73">
        <f t="shared" si="21"/>
        <v>9358750</v>
      </c>
      <c r="I338" s="73">
        <f t="shared" si="21"/>
        <v>0</v>
      </c>
      <c r="J338" s="167">
        <f t="shared" si="21"/>
        <v>-224159824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829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2">(E22-E81)-(E187-E232-E239)</f>
        <v>-148683084</v>
      </c>
      <c r="F344" s="73">
        <f t="shared" si="22"/>
        <v>-4549355</v>
      </c>
      <c r="G344" s="73">
        <f t="shared" si="22"/>
        <v>6874551</v>
      </c>
      <c r="H344" s="73">
        <f t="shared" si="22"/>
        <v>10029416</v>
      </c>
      <c r="I344" s="73">
        <f t="shared" si="22"/>
        <v>0</v>
      </c>
      <c r="J344" s="73">
        <f t="shared" si="22"/>
        <v>-136328472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3">E25-(E190+E252)</f>
        <v>-66507101</v>
      </c>
      <c r="F349" s="73">
        <f t="shared" si="23"/>
        <v>40928161</v>
      </c>
      <c r="G349" s="73">
        <f t="shared" si="23"/>
        <v>-263317582</v>
      </c>
      <c r="H349" s="73">
        <f t="shared" si="23"/>
        <v>-68647621</v>
      </c>
      <c r="I349" s="73">
        <f t="shared" si="23"/>
        <v>-395666124</v>
      </c>
      <c r="J349" s="73">
        <f t="shared" si="23"/>
        <v>38121981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841</v>
      </c>
      <c r="C356" s="239" t="s">
        <v>842</v>
      </c>
      <c r="D356" s="239" t="s">
        <v>843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208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209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210</v>
      </c>
      <c r="J361" s="282" t="s">
        <v>211</v>
      </c>
      <c r="K361" s="277" t="s">
        <v>212</v>
      </c>
    </row>
    <row r="362" spans="1:11" ht="15.75" x14ac:dyDescent="0.25">
      <c r="A362" s="329" t="s">
        <v>213</v>
      </c>
      <c r="B362" s="242"/>
      <c r="C362" s="345"/>
      <c r="D362" s="374"/>
      <c r="E362" s="283" t="s">
        <v>214</v>
      </c>
      <c r="F362" s="284" t="s">
        <v>215</v>
      </c>
      <c r="G362" s="288" t="s">
        <v>216</v>
      </c>
      <c r="H362" s="289" t="s">
        <v>217</v>
      </c>
      <c r="I362" s="285" t="s">
        <v>218</v>
      </c>
      <c r="J362" s="285" t="s">
        <v>219</v>
      </c>
      <c r="K362" s="277" t="s">
        <v>220</v>
      </c>
    </row>
    <row r="363" spans="1:11" ht="15.75" x14ac:dyDescent="0.25">
      <c r="A363" s="307"/>
      <c r="B363" s="242"/>
      <c r="C363" s="345"/>
      <c r="D363" s="374"/>
      <c r="E363" s="283" t="s">
        <v>221</v>
      </c>
      <c r="F363" s="284" t="s">
        <v>222</v>
      </c>
      <c r="G363" s="288"/>
      <c r="H363" s="289"/>
      <c r="I363" s="294" t="s">
        <v>223</v>
      </c>
      <c r="J363" s="285" t="s">
        <v>224</v>
      </c>
      <c r="K363" s="277" t="s">
        <v>225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226</v>
      </c>
      <c r="J364" s="286"/>
      <c r="K364" s="287" t="s">
        <v>228</v>
      </c>
    </row>
    <row r="365" spans="1:11" ht="15.75" thickTop="1" x14ac:dyDescent="0.2">
      <c r="A365" s="57"/>
      <c r="B365" s="58"/>
      <c r="C365" s="59"/>
      <c r="D365" s="60"/>
      <c r="E365" s="260" t="s">
        <v>229</v>
      </c>
      <c r="F365" s="260" t="s">
        <v>230</v>
      </c>
      <c r="G365" s="260" t="s">
        <v>231</v>
      </c>
      <c r="H365" s="260" t="s">
        <v>232</v>
      </c>
      <c r="I365" s="260" t="s">
        <v>233</v>
      </c>
      <c r="J365" s="260" t="s">
        <v>234</v>
      </c>
      <c r="K365" s="272"/>
    </row>
    <row r="366" spans="1:11" ht="15.75" x14ac:dyDescent="0.25">
      <c r="A366" s="190"/>
      <c r="B366" s="191" t="s">
        <v>100</v>
      </c>
      <c r="C366" s="192" t="s">
        <v>674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676</v>
      </c>
      <c r="D367" s="193"/>
      <c r="E367" s="194">
        <f t="shared" ref="E367:J367" si="24">E369+E379+E384</f>
        <v>9267143</v>
      </c>
      <c r="F367" s="194">
        <f t="shared" si="24"/>
        <v>3312542</v>
      </c>
      <c r="G367" s="194">
        <f t="shared" si="24"/>
        <v>70440</v>
      </c>
      <c r="H367" s="194">
        <f t="shared" si="24"/>
        <v>0</v>
      </c>
      <c r="I367" s="194">
        <f t="shared" si="24"/>
        <v>0</v>
      </c>
      <c r="J367" s="196">
        <f t="shared" si="24"/>
        <v>12650125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678</v>
      </c>
      <c r="D369" s="149"/>
      <c r="E369" s="31">
        <f>SUM(E370:E377)</f>
        <v>9267143</v>
      </c>
      <c r="F369" s="31">
        <v>1755120</v>
      </c>
      <c r="G369" s="31">
        <f>SUM(G370:G377)</f>
        <v>70440</v>
      </c>
      <c r="H369" s="31">
        <f>SUM(H370:H377)</f>
        <v>0</v>
      </c>
      <c r="I369" s="31">
        <f>SUM(I370:I377)</f>
        <v>0</v>
      </c>
      <c r="J369" s="31">
        <f>+E369+F369+G369+H369-I369</f>
        <v>11092703</v>
      </c>
      <c r="K369" s="103" t="e">
        <f t="shared" ref="K369:K377" si="25">J369/J$184*100</f>
        <v>#REF!</v>
      </c>
    </row>
    <row r="370" spans="1:11" x14ac:dyDescent="0.2">
      <c r="A370" s="99">
        <v>7500</v>
      </c>
      <c r="B370" s="100"/>
      <c r="C370" s="101" t="s">
        <v>680</v>
      </c>
      <c r="D370" s="149"/>
      <c r="E370" s="31"/>
      <c r="F370" s="31"/>
      <c r="G370" s="31">
        <v>70440</v>
      </c>
      <c r="H370" s="31">
        <v>0</v>
      </c>
      <c r="I370" s="31"/>
      <c r="J370" s="31">
        <f t="shared" ref="J370:J376" si="26">E370+F370+G370+H370-I370</f>
        <v>70440</v>
      </c>
      <c r="K370" s="103" t="e">
        <f t="shared" si="25"/>
        <v>#REF!</v>
      </c>
    </row>
    <row r="371" spans="1:11" x14ac:dyDescent="0.2">
      <c r="A371" s="99">
        <v>7501</v>
      </c>
      <c r="B371" s="100"/>
      <c r="C371" s="101" t="s">
        <v>876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6"/>
        <v>0</v>
      </c>
      <c r="K371" s="103" t="e">
        <f t="shared" si="25"/>
        <v>#REF!</v>
      </c>
    </row>
    <row r="372" spans="1:11" x14ac:dyDescent="0.2">
      <c r="A372" s="99">
        <v>7502</v>
      </c>
      <c r="B372" s="100"/>
      <c r="C372" s="101" t="s">
        <v>682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6"/>
        <v>0</v>
      </c>
      <c r="K372" s="103" t="e">
        <f t="shared" si="25"/>
        <v>#REF!</v>
      </c>
    </row>
    <row r="373" spans="1:11" x14ac:dyDescent="0.2">
      <c r="A373" s="99">
        <v>7503</v>
      </c>
      <c r="B373" s="100"/>
      <c r="C373" s="101" t="s">
        <v>877</v>
      </c>
      <c r="D373" s="149"/>
      <c r="E373" s="31">
        <v>8267143</v>
      </c>
      <c r="F373" s="31"/>
      <c r="G373" s="31">
        <v>0</v>
      </c>
      <c r="H373" s="31">
        <v>0</v>
      </c>
      <c r="I373" s="31"/>
      <c r="J373" s="31">
        <f t="shared" si="26"/>
        <v>8267143</v>
      </c>
      <c r="K373" s="103" t="e">
        <f t="shared" si="25"/>
        <v>#REF!</v>
      </c>
    </row>
    <row r="374" spans="1:11" s="423" customFormat="1" x14ac:dyDescent="0.2">
      <c r="A374" s="99">
        <v>7504</v>
      </c>
      <c r="B374" s="100"/>
      <c r="C374" s="101" t="s">
        <v>686</v>
      </c>
      <c r="D374" s="149"/>
      <c r="E374" s="31">
        <v>1000000</v>
      </c>
      <c r="F374" s="31"/>
      <c r="G374" s="31">
        <v>0</v>
      </c>
      <c r="H374" s="31">
        <v>0</v>
      </c>
      <c r="I374" s="31"/>
      <c r="J374" s="31">
        <f t="shared" si="26"/>
        <v>1000000</v>
      </c>
      <c r="K374" s="103" t="e">
        <f t="shared" si="25"/>
        <v>#REF!</v>
      </c>
    </row>
    <row r="375" spans="1:11" s="423" customFormat="1" x14ac:dyDescent="0.2">
      <c r="A375" s="99">
        <v>7505</v>
      </c>
      <c r="B375" s="100"/>
      <c r="C375" s="101" t="s">
        <v>688</v>
      </c>
      <c r="D375" s="149"/>
      <c r="E375" s="31">
        <v>0</v>
      </c>
      <c r="F375" s="31"/>
      <c r="G375" s="31">
        <v>0</v>
      </c>
      <c r="H375" s="31"/>
      <c r="I375" s="31"/>
      <c r="J375" s="31">
        <f t="shared" si="26"/>
        <v>0</v>
      </c>
      <c r="K375" s="103" t="e">
        <f t="shared" si="25"/>
        <v>#REF!</v>
      </c>
    </row>
    <row r="376" spans="1:11" x14ac:dyDescent="0.2">
      <c r="A376" s="99">
        <v>7506</v>
      </c>
      <c r="B376" s="100"/>
      <c r="C376" s="101" t="s">
        <v>692</v>
      </c>
      <c r="D376" s="149"/>
      <c r="E376" s="31">
        <v>0</v>
      </c>
      <c r="F376" s="31"/>
      <c r="G376" s="31">
        <v>0</v>
      </c>
      <c r="H376" s="31">
        <v>0</v>
      </c>
      <c r="I376" s="31"/>
      <c r="J376" s="31">
        <f t="shared" si="26"/>
        <v>0</v>
      </c>
      <c r="K376" s="103" t="e">
        <f t="shared" si="25"/>
        <v>#REF!</v>
      </c>
    </row>
    <row r="377" spans="1:11" x14ac:dyDescent="0.2">
      <c r="A377" s="99">
        <v>7507</v>
      </c>
      <c r="B377" s="100"/>
      <c r="C377" s="101" t="s">
        <v>690</v>
      </c>
      <c r="D377" s="149"/>
      <c r="E377" s="31">
        <v>0</v>
      </c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5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676</v>
      </c>
      <c r="D379" s="149"/>
      <c r="E379" s="31">
        <f>SUM(E380:E382)</f>
        <v>0</v>
      </c>
      <c r="F379" s="31">
        <v>1193580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1193580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694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696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698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700</v>
      </c>
      <c r="D384" s="149"/>
      <c r="E384" s="31">
        <f>E385</f>
        <v>0</v>
      </c>
      <c r="F384" s="31">
        <f>F385</f>
        <v>363842</v>
      </c>
      <c r="G384" s="31">
        <f>G385</f>
        <v>0</v>
      </c>
      <c r="H384" s="31">
        <f>H385</f>
        <v>0</v>
      </c>
      <c r="I384" s="31">
        <f>I385</f>
        <v>0</v>
      </c>
      <c r="J384" s="31">
        <f>+E384+F384+G384+H384-I384</f>
        <v>363842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363842</v>
      </c>
      <c r="G385" s="31">
        <v>0</v>
      </c>
      <c r="H385" s="31">
        <v>0</v>
      </c>
      <c r="I385" s="31">
        <v>0</v>
      </c>
      <c r="J385" s="31">
        <f>E385+F385+G385+H385-I385</f>
        <v>363842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7">E391+E400+E408+E413</f>
        <v>666039</v>
      </c>
      <c r="F389" s="73">
        <f t="shared" si="27"/>
        <v>1315758</v>
      </c>
      <c r="G389" s="73">
        <f t="shared" si="27"/>
        <v>0</v>
      </c>
      <c r="H389" s="73">
        <f t="shared" si="27"/>
        <v>0</v>
      </c>
      <c r="I389" s="73">
        <f t="shared" si="27"/>
        <v>0</v>
      </c>
      <c r="J389" s="73">
        <f t="shared" si="27"/>
        <v>1981797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666039</v>
      </c>
      <c r="F391" s="31">
        <v>928603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1594642</v>
      </c>
      <c r="K391" s="103" t="e">
        <f t="shared" ref="K391:K398" si="28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>
        <v>0</v>
      </c>
      <c r="F392" s="31"/>
      <c r="G392" s="31">
        <v>0</v>
      </c>
      <c r="H392" s="31">
        <v>0</v>
      </c>
      <c r="I392" s="31">
        <v>0</v>
      </c>
      <c r="J392" s="31">
        <f t="shared" ref="J392:J398" si="29">E392+F392+G392+H392</f>
        <v>0</v>
      </c>
      <c r="K392" s="103" t="e">
        <f t="shared" si="28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>
        <v>0</v>
      </c>
      <c r="F393" s="31"/>
      <c r="G393" s="31">
        <v>0</v>
      </c>
      <c r="H393" s="31">
        <v>0</v>
      </c>
      <c r="I393" s="31">
        <v>0</v>
      </c>
      <c r="J393" s="31">
        <f t="shared" si="29"/>
        <v>0</v>
      </c>
      <c r="K393" s="103" t="e">
        <f t="shared" si="28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>
        <v>0</v>
      </c>
      <c r="F394" s="31"/>
      <c r="G394" s="31">
        <v>0</v>
      </c>
      <c r="H394" s="31">
        <v>0</v>
      </c>
      <c r="I394" s="31">
        <v>0</v>
      </c>
      <c r="J394" s="31">
        <f t="shared" si="29"/>
        <v>0</v>
      </c>
      <c r="K394" s="103" t="e">
        <f t="shared" si="28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>
        <v>0</v>
      </c>
      <c r="F395" s="31"/>
      <c r="G395" s="31">
        <v>0</v>
      </c>
      <c r="H395" s="31">
        <v>0</v>
      </c>
      <c r="I395" s="31">
        <v>0</v>
      </c>
      <c r="J395" s="31">
        <f t="shared" si="29"/>
        <v>0</v>
      </c>
      <c r="K395" s="103" t="e">
        <f t="shared" si="28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666039</v>
      </c>
      <c r="F396" s="31"/>
      <c r="G396" s="31">
        <v>0</v>
      </c>
      <c r="H396" s="31">
        <v>0</v>
      </c>
      <c r="I396" s="31">
        <v>0</v>
      </c>
      <c r="J396" s="31">
        <f t="shared" si="29"/>
        <v>666039</v>
      </c>
      <c r="K396" s="103" t="e">
        <f t="shared" si="28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>
        <v>0</v>
      </c>
      <c r="F397" s="109"/>
      <c r="G397" s="109">
        <v>0</v>
      </c>
      <c r="H397" s="109">
        <v>0</v>
      </c>
      <c r="I397" s="109">
        <v>0</v>
      </c>
      <c r="J397" s="109">
        <f t="shared" si="29"/>
        <v>0</v>
      </c>
      <c r="K397" s="103" t="e">
        <f t="shared" si="28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>
        <v>0</v>
      </c>
      <c r="F398" s="31"/>
      <c r="G398" s="31">
        <v>0</v>
      </c>
      <c r="H398" s="31">
        <v>0</v>
      </c>
      <c r="I398" s="31"/>
      <c r="J398" s="31">
        <f t="shared" si="29"/>
        <v>0</v>
      </c>
      <c r="K398" s="103" t="e">
        <f t="shared" si="28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0</v>
      </c>
      <c r="F400" s="31">
        <v>375175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375175</v>
      </c>
      <c r="K400" s="103" t="e">
        <f t="shared" ref="K400:K406" si="30">J400/J$184*100</f>
        <v>#REF!</v>
      </c>
    </row>
    <row r="401" spans="1:11" x14ac:dyDescent="0.2">
      <c r="A401" s="99">
        <v>4410</v>
      </c>
      <c r="B401" s="100"/>
      <c r="C401" s="101" t="s">
        <v>701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1">E401+F401+G401+H401</f>
        <v>0</v>
      </c>
      <c r="K401" s="103" t="e">
        <f t="shared" si="30"/>
        <v>#REF!</v>
      </c>
    </row>
    <row r="402" spans="1:11" x14ac:dyDescent="0.2">
      <c r="A402" s="99">
        <v>4411</v>
      </c>
      <c r="B402" s="100"/>
      <c r="C402" s="101" t="s">
        <v>703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1"/>
        <v>0</v>
      </c>
      <c r="K402" s="103" t="e">
        <f t="shared" si="30"/>
        <v>#REF!</v>
      </c>
    </row>
    <row r="403" spans="1:11" x14ac:dyDescent="0.2">
      <c r="A403" s="99">
        <v>4412</v>
      </c>
      <c r="B403" s="100"/>
      <c r="C403" s="101" t="s">
        <v>705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1"/>
        <v>0</v>
      </c>
      <c r="K403" s="103" t="e">
        <f t="shared" si="30"/>
        <v>#REF!</v>
      </c>
    </row>
    <row r="404" spans="1:11" x14ac:dyDescent="0.2">
      <c r="A404" s="99">
        <v>4413</v>
      </c>
      <c r="B404" s="100"/>
      <c r="C404" s="101" t="s">
        <v>707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1"/>
        <v>0</v>
      </c>
      <c r="K404" s="103" t="e">
        <f t="shared" si="30"/>
        <v>#REF!</v>
      </c>
    </row>
    <row r="405" spans="1:11" x14ac:dyDescent="0.2">
      <c r="A405" s="99">
        <v>4414</v>
      </c>
      <c r="B405" s="100"/>
      <c r="C405" s="101" t="s">
        <v>709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1"/>
        <v>0</v>
      </c>
      <c r="K405" s="103" t="e">
        <f t="shared" si="30"/>
        <v>#REF!</v>
      </c>
    </row>
    <row r="406" spans="1:11" x14ac:dyDescent="0.2">
      <c r="A406" s="99">
        <v>4415</v>
      </c>
      <c r="B406" s="100"/>
      <c r="C406" s="101" t="s">
        <v>835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1"/>
        <v>0</v>
      </c>
      <c r="K406" s="103" t="e">
        <f t="shared" si="30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711</v>
      </c>
      <c r="D408" s="149"/>
      <c r="E408" s="31">
        <f>SUM(E409:E411)</f>
        <v>0</v>
      </c>
      <c r="F408" s="31">
        <v>11980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11980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713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715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824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878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83">
        <f>+E413+F413+G413+H413+-I413</f>
        <v>0</v>
      </c>
      <c r="K413" s="425"/>
    </row>
    <row r="414" spans="1:11" x14ac:dyDescent="0.2">
      <c r="A414" s="204">
        <v>4430</v>
      </c>
      <c r="B414" s="205"/>
      <c r="C414" s="206" t="s">
        <v>879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717</v>
      </c>
      <c r="C417" s="77" t="s">
        <v>718</v>
      </c>
      <c r="D417" s="142"/>
      <c r="E417" s="73">
        <f t="shared" ref="E417:J417" si="32">E367-E389</f>
        <v>8601104</v>
      </c>
      <c r="F417" s="73">
        <f t="shared" si="32"/>
        <v>1996784</v>
      </c>
      <c r="G417" s="73">
        <f t="shared" si="32"/>
        <v>70440</v>
      </c>
      <c r="H417" s="73">
        <f t="shared" si="32"/>
        <v>0</v>
      </c>
      <c r="I417" s="73">
        <f t="shared" si="32"/>
        <v>0</v>
      </c>
      <c r="J417" s="199">
        <f t="shared" si="32"/>
        <v>10668328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719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721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791</v>
      </c>
      <c r="C424" s="239" t="s">
        <v>792</v>
      </c>
      <c r="D424" s="262" t="s">
        <v>844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208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209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210</v>
      </c>
      <c r="J429" s="282" t="s">
        <v>211</v>
      </c>
      <c r="K429" s="277" t="s">
        <v>212</v>
      </c>
    </row>
    <row r="430" spans="1:11" ht="15.75" x14ac:dyDescent="0.25">
      <c r="A430" s="329" t="s">
        <v>213</v>
      </c>
      <c r="B430" s="242"/>
      <c r="C430" s="345"/>
      <c r="D430" s="374"/>
      <c r="E430" s="283" t="s">
        <v>214</v>
      </c>
      <c r="F430" s="284" t="s">
        <v>215</v>
      </c>
      <c r="G430" s="288" t="s">
        <v>216</v>
      </c>
      <c r="H430" s="289" t="s">
        <v>217</v>
      </c>
      <c r="I430" s="285" t="s">
        <v>218</v>
      </c>
      <c r="J430" s="285" t="s">
        <v>219</v>
      </c>
      <c r="K430" s="277" t="s">
        <v>220</v>
      </c>
    </row>
    <row r="431" spans="1:11" ht="15.75" x14ac:dyDescent="0.25">
      <c r="A431" s="307"/>
      <c r="B431" s="242"/>
      <c r="C431" s="345"/>
      <c r="D431" s="374"/>
      <c r="E431" s="283" t="s">
        <v>221</v>
      </c>
      <c r="F431" s="284" t="s">
        <v>222</v>
      </c>
      <c r="G431" s="288"/>
      <c r="H431" s="289"/>
      <c r="I431" s="294" t="s">
        <v>223</v>
      </c>
      <c r="J431" s="285" t="s">
        <v>224</v>
      </c>
      <c r="K431" s="277" t="s">
        <v>225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226</v>
      </c>
      <c r="J432" s="286"/>
      <c r="K432" s="287" t="s">
        <v>228</v>
      </c>
    </row>
    <row r="433" spans="1:11" ht="15.75" thickTop="1" x14ac:dyDescent="0.2">
      <c r="A433" s="57"/>
      <c r="B433" s="58"/>
      <c r="C433" s="59"/>
      <c r="D433" s="60"/>
      <c r="E433" s="260" t="s">
        <v>229</v>
      </c>
      <c r="F433" s="260" t="s">
        <v>230</v>
      </c>
      <c r="G433" s="260" t="s">
        <v>231</v>
      </c>
      <c r="H433" s="260" t="s">
        <v>232</v>
      </c>
      <c r="I433" s="260" t="s">
        <v>233</v>
      </c>
      <c r="J433" s="260" t="s">
        <v>234</v>
      </c>
      <c r="K433" s="272"/>
    </row>
    <row r="434" spans="1:11" ht="15.75" x14ac:dyDescent="0.25">
      <c r="A434" s="69"/>
      <c r="B434" s="70" t="s">
        <v>830</v>
      </c>
      <c r="C434" s="77" t="s">
        <v>730</v>
      </c>
      <c r="D434" s="142"/>
      <c r="E434" s="73">
        <f>+E436+E445</f>
        <v>554936313</v>
      </c>
      <c r="F434" s="73">
        <f>F436+F445</f>
        <v>3936040</v>
      </c>
      <c r="G434" s="73">
        <f>G436+G445</f>
        <v>0</v>
      </c>
      <c r="H434" s="73">
        <f>H436+H445</f>
        <v>-9358750</v>
      </c>
      <c r="I434" s="73">
        <v>0</v>
      </c>
      <c r="J434" s="199">
        <f>E434+F434+G434+H434</f>
        <v>549513603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732</v>
      </c>
      <c r="D436" s="149"/>
      <c r="E436" s="259">
        <v>554936313</v>
      </c>
      <c r="F436" s="259">
        <v>3936040</v>
      </c>
      <c r="G436" s="259">
        <f>+G438+G439+G440+G441+G443</f>
        <v>0</v>
      </c>
      <c r="H436" s="259">
        <f>+H438+H439+H440+H441+H443</f>
        <v>-9358750</v>
      </c>
      <c r="I436" s="259">
        <f>+I438+I439+I440+I441+I443</f>
        <v>0</v>
      </c>
      <c r="J436" s="259">
        <f>+E436+F436+G436+H436-I436</f>
        <v>549513603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734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736</v>
      </c>
      <c r="D439" s="149"/>
      <c r="E439" s="202"/>
      <c r="F439" s="202"/>
      <c r="G439" s="202"/>
      <c r="H439" s="202">
        <v>-9358750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738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740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742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744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746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748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750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752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754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744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757</v>
      </c>
      <c r="C454" s="77" t="s">
        <v>758</v>
      </c>
      <c r="D454" s="142"/>
      <c r="E454" s="73">
        <f t="shared" ref="E454:J454" si="33">E456+E466</f>
        <v>321535097</v>
      </c>
      <c r="F454" s="73">
        <f t="shared" si="33"/>
        <v>2607690</v>
      </c>
      <c r="G454" s="73">
        <f t="shared" si="33"/>
        <v>5809750</v>
      </c>
      <c r="H454" s="73">
        <f t="shared" si="33"/>
        <v>0</v>
      </c>
      <c r="I454" s="73">
        <f t="shared" si="33"/>
        <v>0</v>
      </c>
      <c r="J454" s="199">
        <f t="shared" si="33"/>
        <v>329952537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760</v>
      </c>
      <c r="D456" s="149"/>
      <c r="E456" s="31">
        <f>+E458+E459+E460+E461+E463+E464</f>
        <v>193196969</v>
      </c>
      <c r="F456" s="31">
        <v>2607690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201614409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762</v>
      </c>
      <c r="D458" s="149"/>
      <c r="E458" s="31">
        <v>0</v>
      </c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764</v>
      </c>
      <c r="D459" s="149"/>
      <c r="E459" s="31">
        <v>21465210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27274960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766</v>
      </c>
      <c r="D460" s="149"/>
      <c r="E460" s="31">
        <v>0</v>
      </c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772</v>
      </c>
      <c r="D461" s="149"/>
      <c r="E461" s="31">
        <v>0</v>
      </c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831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802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775</v>
      </c>
      <c r="D464" s="149"/>
      <c r="E464" s="31">
        <v>171731759</v>
      </c>
      <c r="F464" s="31"/>
      <c r="G464" s="31">
        <v>0</v>
      </c>
      <c r="H464" s="31">
        <v>0</v>
      </c>
      <c r="I464" s="31">
        <v>0</v>
      </c>
      <c r="J464" s="31">
        <f>E464+F464+G464+H464</f>
        <v>171731759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777</v>
      </c>
      <c r="D466" s="149"/>
      <c r="E466" s="31">
        <f>SUM(E468:E472)</f>
        <v>128338128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E466+F466+G466+H466-I466</f>
        <v>128338128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779</v>
      </c>
      <c r="D468" s="149"/>
      <c r="E468" s="31">
        <v>6728692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6728692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781</v>
      </c>
      <c r="D469" s="149"/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783</v>
      </c>
      <c r="D470" s="149"/>
      <c r="E470" s="31">
        <v>1632214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1632214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785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836</v>
      </c>
      <c r="D472" s="149"/>
      <c r="E472" s="31">
        <v>119977222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119977222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803</v>
      </c>
      <c r="C474" s="213" t="s">
        <v>789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804</v>
      </c>
      <c r="D475" s="220"/>
      <c r="E475" s="221">
        <f t="shared" ref="E475:J475" si="34">E22+E367+E434-E187-E389-E454</f>
        <v>5577502</v>
      </c>
      <c r="F475" s="221">
        <f t="shared" si="34"/>
        <v>-143622</v>
      </c>
      <c r="G475" s="221">
        <f t="shared" si="34"/>
        <v>635690</v>
      </c>
      <c r="H475" s="221">
        <f t="shared" si="34"/>
        <v>0</v>
      </c>
      <c r="I475" s="221">
        <f t="shared" si="34"/>
        <v>0</v>
      </c>
      <c r="J475" s="222">
        <f t="shared" si="34"/>
        <v>6069570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787</v>
      </c>
      <c r="C477" s="228" t="s">
        <v>805</v>
      </c>
      <c r="D477" s="229"/>
      <c r="E477" s="230">
        <f t="shared" ref="E477:J477" si="35">E417+E434-E454-E475</f>
        <v>236424818</v>
      </c>
      <c r="F477" s="230">
        <f t="shared" si="35"/>
        <v>3468756</v>
      </c>
      <c r="G477" s="230">
        <f t="shared" si="35"/>
        <v>-6375000</v>
      </c>
      <c r="H477" s="230">
        <f t="shared" si="35"/>
        <v>-9358750</v>
      </c>
      <c r="I477" s="230">
        <f t="shared" si="35"/>
        <v>0</v>
      </c>
      <c r="J477" s="231">
        <f t="shared" si="35"/>
        <v>224159824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35" right="0.32" top="0.4" bottom="0.6" header="0.26" footer="0.5"/>
  <pageSetup paperSize="9" scale="57" fitToHeight="0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M478"/>
  <sheetViews>
    <sheetView topLeftCell="A94" zoomScale="60" workbookViewId="0">
      <selection activeCell="F120" sqref="F120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  <col min="13" max="13" width="11.4414062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7" thickBot="1" x14ac:dyDescent="0.45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7" thickBot="1" x14ac:dyDescent="0.45">
      <c r="A4" s="422" t="s">
        <v>928</v>
      </c>
      <c r="B4" s="236"/>
      <c r="C4" s="236"/>
      <c r="D4" s="236"/>
      <c r="E4" s="236"/>
      <c r="F4" s="236"/>
      <c r="G4" s="236"/>
      <c r="H4" s="236"/>
      <c r="I4" s="586" t="s">
        <v>926</v>
      </c>
      <c r="J4" s="587"/>
      <c r="K4" s="588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hidden="1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hidden="1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hidden="1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hidden="1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E25+E100+E118+E129+E147+4</f>
        <v>1684456187</v>
      </c>
      <c r="F22" s="73">
        <f>F25+F100+F118+F129+F147-1</f>
        <v>350132871</v>
      </c>
      <c r="G22" s="73">
        <f>G25+G100+G118+G129+G147</f>
        <v>945491368</v>
      </c>
      <c r="H22" s="73">
        <f>H25+H100+H118+H129+H147-1</f>
        <v>538720335</v>
      </c>
      <c r="I22" s="73">
        <f>I25+I100+I118+I129+I147</f>
        <v>552598379</v>
      </c>
      <c r="J22" s="75">
        <f>E22+F22+G22+H22-I22</f>
        <v>2966202382</v>
      </c>
      <c r="K22" s="76" t="e">
        <f>J22/J$184*100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1592792287</v>
      </c>
      <c r="F25" s="32">
        <f t="shared" si="0"/>
        <v>260370061</v>
      </c>
      <c r="G25" s="32">
        <f t="shared" si="0"/>
        <v>671479604</v>
      </c>
      <c r="H25" s="32">
        <f t="shared" si="0"/>
        <v>455385476</v>
      </c>
      <c r="I25" s="32">
        <f t="shared" si="0"/>
        <v>122385751</v>
      </c>
      <c r="J25" s="32">
        <f t="shared" si="0"/>
        <v>2857641677</v>
      </c>
      <c r="K25" s="92" t="e">
        <f>J25/J$184*100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1506298081</v>
      </c>
      <c r="F28" s="32">
        <f t="shared" si="1"/>
        <v>212137487</v>
      </c>
      <c r="G28" s="32">
        <f t="shared" si="1"/>
        <v>664714600</v>
      </c>
      <c r="H28" s="32">
        <f t="shared" si="1"/>
        <v>450927036</v>
      </c>
      <c r="I28" s="32">
        <f t="shared" si="1"/>
        <v>122385751</v>
      </c>
      <c r="J28" s="32">
        <f t="shared" si="1"/>
        <v>2711691453</v>
      </c>
      <c r="K28" s="92" t="e">
        <f>J28/J$184*100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402500144</v>
      </c>
      <c r="F31" s="31">
        <f t="shared" si="2"/>
        <v>143826768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546326912</v>
      </c>
      <c r="K31" s="103" t="e">
        <f>J31/J$184*100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>
        <v>267106855</v>
      </c>
      <c r="F32" s="31">
        <v>143826768</v>
      </c>
      <c r="G32" s="31">
        <v>0</v>
      </c>
      <c r="H32" s="31">
        <v>0</v>
      </c>
      <c r="I32" s="31"/>
      <c r="J32" s="31">
        <f>E32+F32+G32+H32</f>
        <v>410933623</v>
      </c>
      <c r="K32" s="103" t="e">
        <f>J32/J$184*100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>
        <v>135393289</v>
      </c>
      <c r="F33" s="31">
        <v>0</v>
      </c>
      <c r="G33" s="31">
        <v>0</v>
      </c>
      <c r="H33" s="31">
        <v>0</v>
      </c>
      <c r="I33" s="31"/>
      <c r="J33" s="31">
        <f>E33+F33+G33+H33</f>
        <v>135393289</v>
      </c>
      <c r="K33" s="103" t="e">
        <f>J33/J$184*100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10933379</v>
      </c>
      <c r="F36" s="31">
        <f t="shared" si="3"/>
        <v>0</v>
      </c>
      <c r="G36" s="31">
        <f t="shared" si="3"/>
        <v>664714600</v>
      </c>
      <c r="H36" s="31">
        <f t="shared" si="3"/>
        <v>450927036</v>
      </c>
      <c r="I36" s="31">
        <f>+I38</f>
        <v>122385751</v>
      </c>
      <c r="J36" s="31">
        <f t="shared" si="3"/>
        <v>1004189264</v>
      </c>
      <c r="K36" s="103" t="e">
        <f>J36/J$184*100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>
        <v>6016234</v>
      </c>
      <c r="F37" s="31">
        <v>0</v>
      </c>
      <c r="G37" s="31">
        <v>388447158</v>
      </c>
      <c r="H37" s="31">
        <f>160087299+86259000</f>
        <v>246346299</v>
      </c>
      <c r="I37" s="31"/>
      <c r="J37" s="31">
        <f>E37+F37+G37+H37</f>
        <v>640809691</v>
      </c>
      <c r="K37" s="103" t="e">
        <f>J37/J$184*100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>
        <v>4143713</v>
      </c>
      <c r="F38" s="109">
        <v>0</v>
      </c>
      <c r="G38" s="109">
        <v>229699651</v>
      </c>
      <c r="H38" s="109">
        <v>178139409</v>
      </c>
      <c r="I38" s="427">
        <f>+I206</f>
        <v>122385751</v>
      </c>
      <c r="J38" s="109">
        <f>E38+F38+G38+H38-I38</f>
        <v>289597022</v>
      </c>
      <c r="K38" s="103" t="e">
        <f>J38/J$184*100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>
        <v>540994</v>
      </c>
      <c r="F39" s="31">
        <v>0</v>
      </c>
      <c r="G39" s="31">
        <v>32554885</v>
      </c>
      <c r="H39" s="31">
        <v>18914222</v>
      </c>
      <c r="I39" s="31"/>
      <c r="J39" s="31">
        <f>E39+F39+G39+H39</f>
        <v>52010101</v>
      </c>
      <c r="K39" s="103" t="e">
        <f>J39/J$184*100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>
        <v>232438</v>
      </c>
      <c r="F40" s="31">
        <v>0</v>
      </c>
      <c r="G40" s="31">
        <v>14012906</v>
      </c>
      <c r="H40" s="31">
        <v>7527106</v>
      </c>
      <c r="I40" s="31"/>
      <c r="J40" s="31">
        <f>E40+F40+G40+H40</f>
        <v>21772450</v>
      </c>
      <c r="K40" s="103" t="e">
        <f>J40/J$184*100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134160915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134160915</v>
      </c>
      <c r="K42" s="103" t="e">
        <f>J42/J$184*100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>
        <v>128609188</v>
      </c>
      <c r="F43" s="31">
        <v>0</v>
      </c>
      <c r="G43" s="31">
        <v>0</v>
      </c>
      <c r="H43" s="31">
        <v>0</v>
      </c>
      <c r="I43" s="31"/>
      <c r="J43" s="31">
        <f>E43+F43+G43+H43</f>
        <v>128609188</v>
      </c>
      <c r="K43" s="103" t="e">
        <f>J43/J$184*100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>
        <v>5551727</v>
      </c>
      <c r="F44" s="31">
        <v>0</v>
      </c>
      <c r="G44" s="31">
        <v>0</v>
      </c>
      <c r="H44" s="31">
        <v>0</v>
      </c>
      <c r="I44" s="31"/>
      <c r="J44" s="31">
        <f>E44+F44+G44+H44</f>
        <v>5551727</v>
      </c>
      <c r="K44" s="103" t="e">
        <f>J44/J$184*100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0</v>
      </c>
      <c r="F46" s="31">
        <f t="shared" si="5"/>
        <v>42045680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42045680</v>
      </c>
      <c r="K46" s="103" t="e">
        <f>J46/J$184*100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/>
      <c r="F47" s="31">
        <v>31090151</v>
      </c>
      <c r="G47" s="31">
        <v>0</v>
      </c>
      <c r="H47" s="31">
        <v>0</v>
      </c>
      <c r="I47" s="31"/>
      <c r="J47" s="31">
        <f>E47+F47+G47+H47</f>
        <v>31090151</v>
      </c>
      <c r="K47" s="103" t="e">
        <f>J47/J$184*100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/>
      <c r="F48" s="31">
        <v>4280</v>
      </c>
      <c r="G48" s="31">
        <v>0</v>
      </c>
      <c r="H48" s="31">
        <v>0</v>
      </c>
      <c r="I48" s="31"/>
      <c r="J48" s="31">
        <f>E48+F48+G48+H48</f>
        <v>4280</v>
      </c>
      <c r="K48" s="103" t="e">
        <f>J48/J$184*100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/>
      <c r="F49" s="31">
        <v>933494</v>
      </c>
      <c r="G49" s="31">
        <v>0</v>
      </c>
      <c r="H49" s="31">
        <v>0</v>
      </c>
      <c r="I49" s="31"/>
      <c r="J49" s="31">
        <f>E49+F49+G49+H49</f>
        <v>933494</v>
      </c>
      <c r="K49" s="103" t="e">
        <f>J49/J$184*100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>
        <v>0</v>
      </c>
      <c r="F50" s="31">
        <v>10017755</v>
      </c>
      <c r="G50" s="31">
        <v>0</v>
      </c>
      <c r="H50" s="31">
        <v>0</v>
      </c>
      <c r="I50" s="31"/>
      <c r="J50" s="31">
        <f>E50+F50+G50+H50</f>
        <v>10017755</v>
      </c>
      <c r="K50" s="103" t="e">
        <f>J50/J$184*100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941146373</v>
      </c>
      <c r="F52" s="31">
        <f>SUM(F53:F61)</f>
        <v>26262249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967408622</v>
      </c>
      <c r="K52" s="103" t="e">
        <f t="shared" ref="K52:K61" si="6">J52/J$184*100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>
        <v>631599150</v>
      </c>
      <c r="F53" s="31"/>
      <c r="G53" s="31">
        <v>0</v>
      </c>
      <c r="H53" s="31">
        <v>0</v>
      </c>
      <c r="I53" s="31"/>
      <c r="J53" s="31">
        <f t="shared" ref="J53:J61" si="7">E53+F53+G53+H53</f>
        <v>631599150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>
        <v>15236864</v>
      </c>
      <c r="F54" s="31"/>
      <c r="G54" s="31">
        <v>0</v>
      </c>
      <c r="H54" s="31">
        <v>0</v>
      </c>
      <c r="I54" s="31"/>
      <c r="J54" s="31">
        <f t="shared" si="7"/>
        <v>15236864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>
        <v>224565682</v>
      </c>
      <c r="F55" s="31"/>
      <c r="G55" s="31">
        <v>0</v>
      </c>
      <c r="H55" s="31">
        <v>0</v>
      </c>
      <c r="I55" s="31"/>
      <c r="J55" s="31">
        <f t="shared" si="7"/>
        <v>224565682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>
        <v>0</v>
      </c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460</v>
      </c>
      <c r="E57" s="31">
        <v>25290340</v>
      </c>
      <c r="F57" s="31">
        <v>1888233</v>
      </c>
      <c r="G57" s="31">
        <v>0</v>
      </c>
      <c r="H57" s="31">
        <v>0</v>
      </c>
      <c r="I57" s="31"/>
      <c r="J57" s="31">
        <f t="shared" si="7"/>
        <v>27178573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>
        <v>0</v>
      </c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>
        <v>26547308</v>
      </c>
      <c r="F59" s="31">
        <v>6131</v>
      </c>
      <c r="G59" s="31">
        <v>0</v>
      </c>
      <c r="H59" s="31">
        <v>0</v>
      </c>
      <c r="I59" s="31"/>
      <c r="J59" s="31">
        <f t="shared" si="7"/>
        <v>26553439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>
        <v>8950267</v>
      </c>
      <c r="F60" s="31">
        <v>24367885</v>
      </c>
      <c r="G60" s="31">
        <v>0</v>
      </c>
      <c r="H60" s="31">
        <v>0</v>
      </c>
      <c r="I60" s="31"/>
      <c r="J60" s="31">
        <f t="shared" si="7"/>
        <v>33318152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>
        <v>8956762</v>
      </c>
      <c r="F61" s="31">
        <v>0</v>
      </c>
      <c r="G61" s="31">
        <v>0</v>
      </c>
      <c r="H61" s="31">
        <v>0</v>
      </c>
      <c r="I61" s="31"/>
      <c r="J61" s="31">
        <f t="shared" si="7"/>
        <v>8956762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17161986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17161986</v>
      </c>
      <c r="K63" s="103" t="e">
        <f t="shared" ref="K63:K70" si="9">J63/J$184*100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>
        <v>16097210</v>
      </c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16097210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>
        <v>1064776</v>
      </c>
      <c r="F65" s="31">
        <v>0</v>
      </c>
      <c r="G65" s="31">
        <v>0</v>
      </c>
      <c r="H65" s="31">
        <v>0</v>
      </c>
      <c r="I65" s="31"/>
      <c r="J65" s="31">
        <f t="shared" si="10"/>
        <v>1064776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395284</v>
      </c>
      <c r="F72" s="31">
        <f>F73</f>
        <v>2790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398074</v>
      </c>
      <c r="K72" s="103" t="e">
        <f>J72/J$184*100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395284</v>
      </c>
      <c r="F73" s="31">
        <v>2790</v>
      </c>
      <c r="G73" s="31">
        <v>0</v>
      </c>
      <c r="H73" s="31">
        <v>0</v>
      </c>
      <c r="I73" s="31"/>
      <c r="J73" s="31">
        <f>E73+F73+G73+H73</f>
        <v>398074</v>
      </c>
      <c r="K73" s="103" t="e">
        <f>J73/J$184*100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86494206</v>
      </c>
      <c r="F75" s="32">
        <f t="shared" si="11"/>
        <v>48232574</v>
      </c>
      <c r="G75" s="32">
        <f t="shared" si="11"/>
        <v>6765004</v>
      </c>
      <c r="H75" s="32">
        <f t="shared" si="11"/>
        <v>4458440</v>
      </c>
      <c r="I75" s="32">
        <f t="shared" si="11"/>
        <v>0</v>
      </c>
      <c r="J75" s="32">
        <f t="shared" si="11"/>
        <v>145950224</v>
      </c>
      <c r="K75" s="92" t="e">
        <f>J75/J$184*100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20644332</v>
      </c>
      <c r="F78" s="31">
        <f>SUM(F79:F82)</f>
        <v>23712969</v>
      </c>
      <c r="G78" s="31">
        <f>SUM(G79:G82)</f>
        <v>243042</v>
      </c>
      <c r="H78" s="31">
        <f>SUM(H79:H82)</f>
        <v>80945</v>
      </c>
      <c r="I78" s="31">
        <f>SUM(I79:I82)</f>
        <v>0</v>
      </c>
      <c r="J78" s="31">
        <f>E78+F78+G78+H78</f>
        <v>44681288</v>
      </c>
      <c r="K78" s="103" t="e">
        <f>J78/J$184*100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>
        <v>7224084</v>
      </c>
      <c r="F79" s="31">
        <v>491949</v>
      </c>
      <c r="G79" s="31">
        <v>0</v>
      </c>
      <c r="H79" s="31">
        <v>0</v>
      </c>
      <c r="I79" s="31"/>
      <c r="J79" s="31">
        <f>E79+F79+G79+H79</f>
        <v>7716033</v>
      </c>
      <c r="K79" s="103" t="e">
        <f>J79/J$184*100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>
        <v>17528</v>
      </c>
      <c r="F80" s="31">
        <v>525653</v>
      </c>
      <c r="G80" s="31">
        <v>0</v>
      </c>
      <c r="H80" s="31">
        <v>0</v>
      </c>
      <c r="I80" s="31"/>
      <c r="J80" s="31">
        <f>E80+F80+G80+H80</f>
        <v>543181</v>
      </c>
      <c r="K80" s="103" t="e">
        <f>J80/J$184*100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>
        <v>6890570</v>
      </c>
      <c r="F81" s="31">
        <v>2247810</v>
      </c>
      <c r="G81" s="31">
        <v>207866</v>
      </c>
      <c r="H81" s="31">
        <v>59334</v>
      </c>
      <c r="I81" s="31"/>
      <c r="J81" s="31">
        <f>E81+F81+G81+H81</f>
        <v>9405580</v>
      </c>
      <c r="K81" s="103" t="e">
        <f>J81/J$184*100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>
        <v>6512150</v>
      </c>
      <c r="F82" s="31">
        <v>20447557</v>
      </c>
      <c r="G82" s="31">
        <v>35176</v>
      </c>
      <c r="H82" s="31">
        <v>21611</v>
      </c>
      <c r="I82" s="31"/>
      <c r="J82" s="31">
        <f>E82+F82+G82+H82</f>
        <v>27016494</v>
      </c>
      <c r="K82" s="103" t="e">
        <f>J82/J$184*100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27440853</v>
      </c>
      <c r="F85" s="31">
        <f>F86+F87</f>
        <v>1293707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28734560</v>
      </c>
      <c r="K85" s="103" t="e">
        <f>J85/J$184*100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>
        <v>9174343</v>
      </c>
      <c r="F86" s="31">
        <v>0</v>
      </c>
      <c r="G86" s="31">
        <v>0</v>
      </c>
      <c r="H86" s="31">
        <v>0</v>
      </c>
      <c r="I86" s="31"/>
      <c r="J86" s="31">
        <f>E86+F86+G86+H86</f>
        <v>9174343</v>
      </c>
      <c r="K86" s="103" t="e">
        <f>J86/J$184*100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>
        <v>18266510</v>
      </c>
      <c r="F87" s="31">
        <v>1293707</v>
      </c>
      <c r="G87" s="31">
        <v>0</v>
      </c>
      <c r="H87" s="31">
        <v>0</v>
      </c>
      <c r="I87" s="31"/>
      <c r="J87" s="31">
        <f>E87+F87+G87+H87</f>
        <v>19560217</v>
      </c>
      <c r="K87" s="103" t="e">
        <f>J87/J$184*100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9140465</v>
      </c>
      <c r="F89" s="31">
        <f>F90</f>
        <v>567219</v>
      </c>
      <c r="G89" s="31">
        <f>G90</f>
        <v>0</v>
      </c>
      <c r="H89" s="31">
        <f>H90</f>
        <v>123115</v>
      </c>
      <c r="I89" s="31">
        <f>I90</f>
        <v>0</v>
      </c>
      <c r="J89" s="31">
        <f>E89+F89+G89+H89</f>
        <v>9830799</v>
      </c>
      <c r="K89" s="103" t="e">
        <f>J89/J$184*100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>
        <v>9140465</v>
      </c>
      <c r="F90" s="31">
        <v>567219</v>
      </c>
      <c r="G90" s="31">
        <v>0</v>
      </c>
      <c r="H90" s="31">
        <v>123115</v>
      </c>
      <c r="I90" s="31"/>
      <c r="J90" s="31">
        <f>E90+F90+G90+H90</f>
        <v>9830799</v>
      </c>
      <c r="K90" s="103" t="e">
        <f>J90/J$184*100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3635905</v>
      </c>
      <c r="F92" s="31">
        <f t="shared" si="12"/>
        <v>2086010</v>
      </c>
      <c r="G92" s="31">
        <f t="shared" si="12"/>
        <v>36185</v>
      </c>
      <c r="H92" s="31">
        <f t="shared" si="12"/>
        <v>864443</v>
      </c>
      <c r="I92" s="31">
        <f t="shared" si="12"/>
        <v>0</v>
      </c>
      <c r="J92" s="31">
        <f t="shared" si="12"/>
        <v>6622543</v>
      </c>
      <c r="K92" s="103" t="e">
        <f>J92/J$184*100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>
        <v>3635905</v>
      </c>
      <c r="F93" s="31">
        <v>2086010</v>
      </c>
      <c r="G93" s="31">
        <v>36185</v>
      </c>
      <c r="H93" s="31">
        <v>864443</v>
      </c>
      <c r="I93" s="31"/>
      <c r="J93" s="31">
        <f>E93+F93+G93+H93-I93</f>
        <v>6622543</v>
      </c>
      <c r="K93" s="103" t="e">
        <f>J93/J$184*100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25632651</v>
      </c>
      <c r="F96" s="31">
        <f t="shared" si="13"/>
        <v>20572669</v>
      </c>
      <c r="G96" s="31">
        <f t="shared" si="13"/>
        <v>6485777</v>
      </c>
      <c r="H96" s="31">
        <f t="shared" si="13"/>
        <v>3389937</v>
      </c>
      <c r="I96" s="31">
        <f t="shared" si="13"/>
        <v>0</v>
      </c>
      <c r="J96" s="31">
        <f t="shared" si="13"/>
        <v>56081034</v>
      </c>
      <c r="K96" s="103" t="e">
        <f>J96/J$184*100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>
        <v>0</v>
      </c>
      <c r="F97" s="31">
        <v>0</v>
      </c>
      <c r="G97" s="31">
        <v>5124608</v>
      </c>
      <c r="H97" s="31">
        <v>0</v>
      </c>
      <c r="I97" s="31"/>
      <c r="J97" s="31">
        <f>E97+F97+G97+H97</f>
        <v>5124608</v>
      </c>
      <c r="K97" s="103" t="e">
        <f>J97/J$184*100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>
        <v>25632651</v>
      </c>
      <c r="F98" s="31">
        <v>20572669</v>
      </c>
      <c r="G98" s="31">
        <v>1361169</v>
      </c>
      <c r="H98" s="31">
        <v>3389937</v>
      </c>
      <c r="I98" s="31"/>
      <c r="J98" s="31">
        <f>E98+F98+G98+H98-I98</f>
        <v>50956426</v>
      </c>
      <c r="K98" s="103" t="e">
        <f>J98/J$184*100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2280456</v>
      </c>
      <c r="F100" s="32">
        <f>F103+F109+F113</f>
        <v>14709903</v>
      </c>
      <c r="G100" s="32">
        <f>G103+G109+G113</f>
        <v>600</v>
      </c>
      <c r="H100" s="32">
        <f>H103+H109+H113</f>
        <v>27843</v>
      </c>
      <c r="I100" s="32">
        <f>I103+I109+I113</f>
        <v>0</v>
      </c>
      <c r="J100" s="32">
        <f>E100+F100+G100+H100</f>
        <v>17018802</v>
      </c>
      <c r="K100" s="92" t="e">
        <f>J100/J$184*100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888394</v>
      </c>
      <c r="F103" s="31">
        <f>SUM(F104:F107)</f>
        <v>5090384</v>
      </c>
      <c r="G103" s="31">
        <v>600</v>
      </c>
      <c r="H103" s="31">
        <v>27843</v>
      </c>
      <c r="I103" s="31">
        <f>SUM(I104:I107)</f>
        <v>0</v>
      </c>
      <c r="J103" s="31">
        <f t="shared" ref="J103:J111" si="14">E103+F103+G103+H103</f>
        <v>6007221</v>
      </c>
      <c r="K103" s="103" t="e">
        <f t="shared" ref="K103:K109" si="15">J103/J$184*100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>
        <v>796584</v>
      </c>
      <c r="F104" s="31">
        <v>4586254</v>
      </c>
      <c r="G104" s="31"/>
      <c r="H104" s="31"/>
      <c r="I104" s="31"/>
      <c r="J104" s="31">
        <f t="shared" si="14"/>
        <v>5382838</v>
      </c>
      <c r="K104" s="103" t="e">
        <f t="shared" si="15"/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>
        <v>82743</v>
      </c>
      <c r="F105" s="31">
        <v>12403</v>
      </c>
      <c r="G105" s="31"/>
      <c r="H105" s="31"/>
      <c r="I105" s="31"/>
      <c r="J105" s="31">
        <f t="shared" si="14"/>
        <v>95146</v>
      </c>
      <c r="K105" s="103" t="e">
        <f t="shared" si="15"/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>
        <v>7204</v>
      </c>
      <c r="F106" s="31">
        <v>35740</v>
      </c>
      <c r="G106" s="31"/>
      <c r="H106" s="31"/>
      <c r="I106" s="31"/>
      <c r="J106" s="31">
        <f t="shared" si="14"/>
        <v>42944</v>
      </c>
      <c r="K106" s="103" t="e">
        <f t="shared" si="15"/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4">
        <v>1863</v>
      </c>
      <c r="F107" s="31">
        <v>455987</v>
      </c>
      <c r="G107" s="31"/>
      <c r="H107" s="31"/>
      <c r="I107" s="31"/>
      <c r="J107" s="31">
        <f t="shared" si="14"/>
        <v>457850</v>
      </c>
      <c r="K107" s="103" t="e">
        <f t="shared" si="15"/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>
        <f t="shared" si="14"/>
        <v>0</v>
      </c>
      <c r="K108" s="105" t="e">
        <f t="shared" si="15"/>
        <v>#REF!</v>
      </c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 t="shared" si="14"/>
        <v>0</v>
      </c>
      <c r="K109" s="103" t="e">
        <f t="shared" si="15"/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 t="shared" si="14"/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 t="shared" si="14"/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1392062</v>
      </c>
      <c r="F113" s="31">
        <v>9619519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11011581</v>
      </c>
      <c r="K113" s="103" t="e">
        <f>J113/J$184*100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>
        <v>1392062</v>
      </c>
      <c r="F115" s="31"/>
      <c r="G115" s="31">
        <v>0</v>
      </c>
      <c r="H115" s="31">
        <v>0</v>
      </c>
      <c r="I115" s="31"/>
      <c r="J115" s="31">
        <f>E115+F115+G115+H115</f>
        <v>1392062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11270</v>
      </c>
      <c r="F118" s="32">
        <f>F121+F125</f>
        <v>1048486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1059756</v>
      </c>
      <c r="K118" s="92" t="e">
        <f>J118/J$184*100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v>11270</v>
      </c>
      <c r="F121" s="31">
        <v>632764</v>
      </c>
      <c r="G121" s="31">
        <f>G122+G123</f>
        <v>0</v>
      </c>
      <c r="H121" s="31">
        <f>H122+H123</f>
        <v>0</v>
      </c>
      <c r="I121" s="31">
        <f>I122+I123</f>
        <v>0</v>
      </c>
      <c r="J121" s="31">
        <f>+E121+F121+G121+H121-I121</f>
        <v>644034</v>
      </c>
      <c r="K121" s="103" t="e">
        <f>J121/J$184*100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/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J122/J$184*100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/>
      <c r="F123" s="31"/>
      <c r="G123" s="31">
        <v>0</v>
      </c>
      <c r="H123" s="31">
        <v>0</v>
      </c>
      <c r="I123" s="31"/>
      <c r="J123" s="31">
        <f>E123+F123+G123+H123</f>
        <v>0</v>
      </c>
      <c r="K123" s="103" t="e">
        <f>J123/J$184*100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0</v>
      </c>
      <c r="F125" s="31">
        <v>415722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415722</v>
      </c>
      <c r="K125" s="103" t="e">
        <f>J125/J$184*100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J126/J$184*100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J127/J$184*100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116270</v>
      </c>
      <c r="F129" s="73">
        <f>F131</f>
        <v>74004422</v>
      </c>
      <c r="G129" s="73">
        <f>G131</f>
        <v>274011164</v>
      </c>
      <c r="H129" s="73">
        <f>H131</f>
        <v>83307017</v>
      </c>
      <c r="I129" s="73">
        <f>I131</f>
        <v>430212628</v>
      </c>
      <c r="J129" s="73">
        <f>+J131</f>
        <v>1226245</v>
      </c>
      <c r="K129" s="92" t="e">
        <f>J129/J$184*100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E133+E143+E144+E145</f>
        <v>116270</v>
      </c>
      <c r="F131" s="109">
        <f>F133+F143+F144+F145</f>
        <v>74004422</v>
      </c>
      <c r="G131" s="109">
        <f>G133+G143+G144+G145</f>
        <v>274011164</v>
      </c>
      <c r="H131" s="109">
        <f>H133+H143+H144+H145</f>
        <v>83307017</v>
      </c>
      <c r="I131" s="109">
        <f>I133+I143+I144+I145</f>
        <v>430212628</v>
      </c>
      <c r="J131" s="109">
        <f>SUM(J133:J145)</f>
        <v>1226245</v>
      </c>
      <c r="K131" s="103" t="e">
        <f>J131/J$184*100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>
        <v>109209</v>
      </c>
      <c r="F133" s="117">
        <f>+F134+F135+F136</f>
        <v>70204712</v>
      </c>
      <c r="G133" s="117">
        <f>+G134+G136+G137+G138+G140</f>
        <v>273559542</v>
      </c>
      <c r="H133" s="117">
        <f>+H137+H139+H141</f>
        <v>4559081</v>
      </c>
      <c r="I133" s="428">
        <f>E133+F133+G133+H133</f>
        <v>348432544</v>
      </c>
      <c r="J133" s="109">
        <f>E133+F133+G133+H133-I133</f>
        <v>0</v>
      </c>
      <c r="K133" s="104"/>
    </row>
    <row r="134" spans="1:11" x14ac:dyDescent="0.2">
      <c r="A134" s="106">
        <v>740000</v>
      </c>
      <c r="B134" s="107"/>
      <c r="C134" s="108" t="s">
        <v>193</v>
      </c>
      <c r="D134" s="102"/>
      <c r="E134" s="117"/>
      <c r="F134" s="117">
        <v>48984647</v>
      </c>
      <c r="G134" s="117">
        <v>95042352</v>
      </c>
      <c r="H134" s="117"/>
      <c r="I134" s="428"/>
      <c r="J134" s="109"/>
      <c r="K134" s="104"/>
    </row>
    <row r="135" spans="1:11" x14ac:dyDescent="0.2">
      <c r="A135" s="106">
        <v>740001</v>
      </c>
      <c r="B135" s="107"/>
      <c r="C135" s="108" t="s">
        <v>931</v>
      </c>
      <c r="D135" s="102"/>
      <c r="E135" s="117"/>
      <c r="F135" s="117">
        <v>2928403</v>
      </c>
      <c r="G135" s="117"/>
      <c r="H135" s="117"/>
      <c r="I135" s="428"/>
      <c r="J135" s="109"/>
      <c r="K135" s="104"/>
    </row>
    <row r="136" spans="1:11" x14ac:dyDescent="0.2">
      <c r="A136" s="106">
        <v>740002</v>
      </c>
      <c r="B136" s="107"/>
      <c r="C136" s="108" t="s">
        <v>932</v>
      </c>
      <c r="D136" s="102"/>
      <c r="E136" s="117"/>
      <c r="F136" s="117">
        <v>18291662</v>
      </c>
      <c r="G136" s="117">
        <v>172460118</v>
      </c>
      <c r="H136" s="117"/>
      <c r="I136" s="428"/>
      <c r="J136" s="109"/>
      <c r="K136" s="104"/>
    </row>
    <row r="137" spans="1:11" x14ac:dyDescent="0.2">
      <c r="A137" s="106">
        <v>740004</v>
      </c>
      <c r="B137" s="107"/>
      <c r="C137" s="108" t="s">
        <v>933</v>
      </c>
      <c r="D137" s="102"/>
      <c r="E137" s="117"/>
      <c r="F137" s="117"/>
      <c r="G137" s="117">
        <v>447710</v>
      </c>
      <c r="H137" s="117">
        <v>196158</v>
      </c>
      <c r="I137" s="428"/>
      <c r="J137" s="109"/>
      <c r="K137" s="104"/>
    </row>
    <row r="138" spans="1:11" x14ac:dyDescent="0.2">
      <c r="A138" s="106">
        <v>740006</v>
      </c>
      <c r="B138" s="107"/>
      <c r="C138" s="108" t="s">
        <v>934</v>
      </c>
      <c r="D138" s="102"/>
      <c r="E138" s="117"/>
      <c r="F138" s="117"/>
      <c r="G138" s="117">
        <v>3791656</v>
      </c>
      <c r="H138" s="117"/>
      <c r="I138" s="428"/>
      <c r="J138" s="109"/>
      <c r="K138" s="104"/>
    </row>
    <row r="139" spans="1:11" x14ac:dyDescent="0.2">
      <c r="A139" s="106">
        <v>740007</v>
      </c>
      <c r="B139" s="107"/>
      <c r="C139" s="108" t="s">
        <v>935</v>
      </c>
      <c r="D139" s="102"/>
      <c r="E139" s="117"/>
      <c r="F139" s="117"/>
      <c r="G139" s="117"/>
      <c r="H139" s="117">
        <v>2804929</v>
      </c>
      <c r="I139" s="428"/>
      <c r="J139" s="109"/>
      <c r="K139" s="104"/>
    </row>
    <row r="140" spans="1:11" x14ac:dyDescent="0.2">
      <c r="A140" s="106">
        <v>740010</v>
      </c>
      <c r="B140" s="107"/>
      <c r="C140" s="108" t="s">
        <v>936</v>
      </c>
      <c r="D140" s="102"/>
      <c r="E140" s="117"/>
      <c r="F140" s="117"/>
      <c r="G140" s="117">
        <v>1817706</v>
      </c>
      <c r="H140" s="117"/>
      <c r="I140" s="428"/>
      <c r="J140" s="109"/>
      <c r="K140" s="104"/>
    </row>
    <row r="141" spans="1:11" x14ac:dyDescent="0.2">
      <c r="A141" s="106">
        <v>740011</v>
      </c>
      <c r="B141" s="107"/>
      <c r="C141" s="108" t="s">
        <v>192</v>
      </c>
      <c r="D141" s="102"/>
      <c r="E141" s="117"/>
      <c r="F141" s="117"/>
      <c r="G141" s="117"/>
      <c r="H141" s="117">
        <v>1557994</v>
      </c>
      <c r="I141" s="428"/>
      <c r="J141" s="109"/>
      <c r="K141" s="104"/>
    </row>
    <row r="142" spans="1:11" x14ac:dyDescent="0.2">
      <c r="A142" s="106"/>
      <c r="B142" s="107"/>
      <c r="C142" s="108"/>
      <c r="D142" s="102"/>
      <c r="E142" s="109"/>
      <c r="F142" s="109"/>
      <c r="G142" s="109"/>
      <c r="H142" s="109"/>
      <c r="I142" s="109"/>
      <c r="J142" s="109"/>
      <c r="K142" s="104"/>
    </row>
    <row r="143" spans="1:11" x14ac:dyDescent="0.2">
      <c r="A143" s="106">
        <v>7401</v>
      </c>
      <c r="B143" s="107"/>
      <c r="C143" s="108" t="s">
        <v>577</v>
      </c>
      <c r="D143" s="102" t="s">
        <v>578</v>
      </c>
      <c r="E143" s="109">
        <v>0</v>
      </c>
      <c r="F143" s="117">
        <v>2397581</v>
      </c>
      <c r="G143" s="109">
        <v>0</v>
      </c>
      <c r="H143" s="117">
        <v>3937097</v>
      </c>
      <c r="I143" s="428">
        <f>E143+F143+G143+H143</f>
        <v>6334678</v>
      </c>
      <c r="J143" s="109">
        <f>E143+F143+G143+H143-I143</f>
        <v>0</v>
      </c>
      <c r="K143" s="104"/>
    </row>
    <row r="144" spans="1:11" x14ac:dyDescent="0.2">
      <c r="A144" s="106">
        <v>7402</v>
      </c>
      <c r="B144" s="107"/>
      <c r="C144" s="108" t="s">
        <v>579</v>
      </c>
      <c r="D144" s="102" t="s">
        <v>580</v>
      </c>
      <c r="E144" s="117">
        <v>7061</v>
      </c>
      <c r="F144" s="117">
        <v>175884</v>
      </c>
      <c r="G144" s="117">
        <v>451622</v>
      </c>
      <c r="H144" s="117">
        <v>74810839</v>
      </c>
      <c r="I144" s="428">
        <f>E144+F144+G144+H144</f>
        <v>75445406</v>
      </c>
      <c r="J144" s="109">
        <f>E144+F144+G144+H144-I144</f>
        <v>0</v>
      </c>
      <c r="K144" s="104"/>
    </row>
    <row r="145" spans="1:11" x14ac:dyDescent="0.2">
      <c r="A145" s="106">
        <v>7403</v>
      </c>
      <c r="B145" s="107"/>
      <c r="C145" s="108" t="s">
        <v>581</v>
      </c>
      <c r="D145" s="102" t="s">
        <v>582</v>
      </c>
      <c r="E145" s="109">
        <v>0</v>
      </c>
      <c r="F145" s="109">
        <v>1226245</v>
      </c>
      <c r="G145" s="109">
        <v>0</v>
      </c>
      <c r="H145" s="109">
        <v>0</v>
      </c>
      <c r="I145" s="109">
        <v>0</v>
      </c>
      <c r="J145" s="109">
        <f>E145+F145+G145+H145-I145</f>
        <v>1226245</v>
      </c>
      <c r="K145" s="103" t="e">
        <f>J145/J$184*100</f>
        <v>#REF!</v>
      </c>
    </row>
    <row r="146" spans="1:11" s="423" customFormat="1" x14ac:dyDescent="0.2">
      <c r="A146" s="204"/>
      <c r="B146" s="205"/>
      <c r="C146" s="206"/>
      <c r="D146" s="432"/>
      <c r="E146" s="383"/>
      <c r="F146" s="383"/>
      <c r="G146" s="383"/>
      <c r="H146" s="383"/>
      <c r="I146" s="383"/>
      <c r="J146" s="383"/>
      <c r="K146" s="433"/>
    </row>
    <row r="147" spans="1:11" ht="15.75" x14ac:dyDescent="0.25">
      <c r="A147" s="88">
        <v>78</v>
      </c>
      <c r="B147" s="89"/>
      <c r="C147" s="90" t="s">
        <v>884</v>
      </c>
      <c r="D147" s="91"/>
      <c r="E147" s="32">
        <f>+E149+E154+E159+E165+E168+E172+E176+E179</f>
        <v>89255900</v>
      </c>
      <c r="F147" s="32">
        <v>0</v>
      </c>
      <c r="G147" s="32">
        <v>0</v>
      </c>
      <c r="H147" s="32">
        <v>0</v>
      </c>
      <c r="I147" s="32">
        <v>0</v>
      </c>
      <c r="J147" s="32">
        <f>+J149+J154+J159+J165+J168+J172+J176+J179</f>
        <v>89255900</v>
      </c>
      <c r="K147" s="103" t="e">
        <f>J147/J$184*100</f>
        <v>#REF!</v>
      </c>
    </row>
    <row r="148" spans="1:11" s="423" customFormat="1" x14ac:dyDescent="0.2">
      <c r="A148" s="204"/>
      <c r="B148" s="205"/>
      <c r="C148" s="206"/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>
        <v>780</v>
      </c>
      <c r="B149" s="205"/>
      <c r="C149" s="206" t="s">
        <v>885</v>
      </c>
      <c r="D149" s="432"/>
      <c r="E149" s="383">
        <v>2952200</v>
      </c>
      <c r="F149" s="383"/>
      <c r="G149" s="383"/>
      <c r="H149" s="383"/>
      <c r="I149" s="383"/>
      <c r="J149" s="383">
        <f>+E149+F149+G149+H149-I149</f>
        <v>2952200</v>
      </c>
      <c r="K149" s="103" t="e">
        <f>J149/J$184*100</f>
        <v>#REF!</v>
      </c>
    </row>
    <row r="150" spans="1:11" s="423" customFormat="1" x14ac:dyDescent="0.2">
      <c r="A150" s="204">
        <v>7800</v>
      </c>
      <c r="B150" s="205"/>
      <c r="C150" s="206" t="s">
        <v>886</v>
      </c>
      <c r="D150" s="432"/>
      <c r="E150" s="383"/>
      <c r="F150" s="383"/>
      <c r="G150" s="383"/>
      <c r="H150" s="383"/>
      <c r="I150" s="383"/>
      <c r="J150" s="383"/>
      <c r="K150" s="433"/>
    </row>
    <row r="151" spans="1:11" s="423" customFormat="1" x14ac:dyDescent="0.2">
      <c r="A151" s="204">
        <v>7801</v>
      </c>
      <c r="B151" s="205"/>
      <c r="C151" s="206" t="s">
        <v>887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7802</v>
      </c>
      <c r="B152" s="205"/>
      <c r="C152" s="206" t="s">
        <v>888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/>
      <c r="B153" s="205"/>
      <c r="C153" s="206"/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781</v>
      </c>
      <c r="B154" s="205"/>
      <c r="C154" s="206" t="s">
        <v>894</v>
      </c>
      <c r="D154" s="432"/>
      <c r="E154" s="383">
        <f>+E155+E156+E157</f>
        <v>42577500</v>
      </c>
      <c r="F154" s="383"/>
      <c r="G154" s="383"/>
      <c r="H154" s="383"/>
      <c r="I154" s="383"/>
      <c r="J154" s="383">
        <f>+E154+F154+G154+H154-I154</f>
        <v>42577500</v>
      </c>
      <c r="K154" s="103" t="e">
        <f>J154/J$184*100</f>
        <v>#REF!</v>
      </c>
    </row>
    <row r="155" spans="1:11" s="423" customFormat="1" x14ac:dyDescent="0.2">
      <c r="A155" s="204">
        <v>7810</v>
      </c>
      <c r="B155" s="205"/>
      <c r="C155" s="206" t="s">
        <v>889</v>
      </c>
      <c r="D155" s="432"/>
      <c r="E155" s="383">
        <v>10442500</v>
      </c>
      <c r="F155" s="383"/>
      <c r="G155" s="383"/>
      <c r="H155" s="383"/>
      <c r="I155" s="383"/>
      <c r="J155" s="383">
        <f>+E155+F155+G155+H155-I155</f>
        <v>10442500</v>
      </c>
      <c r="K155" s="433"/>
    </row>
    <row r="156" spans="1:11" s="423" customFormat="1" x14ac:dyDescent="0.2">
      <c r="A156" s="204">
        <v>7811</v>
      </c>
      <c r="B156" s="205"/>
      <c r="C156" s="206" t="s">
        <v>890</v>
      </c>
      <c r="D156" s="432"/>
      <c r="E156" s="383">
        <v>8827700</v>
      </c>
      <c r="F156" s="383"/>
      <c r="G156" s="383"/>
      <c r="H156" s="383"/>
      <c r="I156" s="383"/>
      <c r="J156" s="383">
        <f>+E156+F156+G156+H156-I156</f>
        <v>8827700</v>
      </c>
      <c r="K156" s="433"/>
    </row>
    <row r="157" spans="1:11" s="423" customFormat="1" x14ac:dyDescent="0.2">
      <c r="A157" s="204">
        <v>7812</v>
      </c>
      <c r="B157" s="205"/>
      <c r="C157" s="206" t="s">
        <v>893</v>
      </c>
      <c r="D157" s="432"/>
      <c r="E157" s="383">
        <v>23307300</v>
      </c>
      <c r="F157" s="383"/>
      <c r="G157" s="383"/>
      <c r="H157" s="383"/>
      <c r="I157" s="383"/>
      <c r="J157" s="383">
        <f>+E157+F157+G157+H157-I157</f>
        <v>23307300</v>
      </c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782</v>
      </c>
      <c r="B159" s="205"/>
      <c r="C159" s="206" t="s">
        <v>900</v>
      </c>
      <c r="D159" s="432"/>
      <c r="E159" s="383">
        <v>13160600</v>
      </c>
      <c r="F159" s="383"/>
      <c r="G159" s="383"/>
      <c r="H159" s="383"/>
      <c r="I159" s="383"/>
      <c r="J159" s="383">
        <f>+E159+F159+G159+H159-I159</f>
        <v>13160600</v>
      </c>
      <c r="K159" s="103" t="e">
        <f>J159/J$184*100</f>
        <v>#REF!</v>
      </c>
    </row>
    <row r="160" spans="1:11" s="423" customFormat="1" x14ac:dyDescent="0.2">
      <c r="A160" s="204">
        <v>7820</v>
      </c>
      <c r="B160" s="205"/>
      <c r="C160" s="206" t="s">
        <v>896</v>
      </c>
      <c r="D160" s="432"/>
      <c r="E160" s="383">
        <v>0</v>
      </c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7821</v>
      </c>
      <c r="B161" s="205"/>
      <c r="C161" s="206" t="s">
        <v>897</v>
      </c>
      <c r="D161" s="432"/>
      <c r="E161" s="383">
        <v>0</v>
      </c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>
        <v>7822</v>
      </c>
      <c r="B162" s="205"/>
      <c r="C162" s="206" t="s">
        <v>898</v>
      </c>
      <c r="D162" s="432"/>
      <c r="E162" s="383">
        <v>0</v>
      </c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7823</v>
      </c>
      <c r="B163" s="205"/>
      <c r="C163" s="206" t="s">
        <v>899</v>
      </c>
      <c r="D163" s="432"/>
      <c r="E163" s="383">
        <v>0</v>
      </c>
      <c r="F163" s="383"/>
      <c r="G163" s="383"/>
      <c r="H163" s="383"/>
      <c r="I163" s="383"/>
      <c r="J163" s="383"/>
      <c r="K163" s="433"/>
    </row>
    <row r="164" spans="1:11" s="423" customFormat="1" x14ac:dyDescent="0.2">
      <c r="A164" s="204"/>
      <c r="B164" s="205"/>
      <c r="C164" s="206"/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783</v>
      </c>
      <c r="B165" s="205"/>
      <c r="C165" s="206" t="s">
        <v>902</v>
      </c>
      <c r="D165" s="432"/>
      <c r="E165" s="383">
        <f>+E166</f>
        <v>6450900</v>
      </c>
      <c r="F165" s="383"/>
      <c r="G165" s="383"/>
      <c r="H165" s="383"/>
      <c r="I165" s="383"/>
      <c r="J165" s="383">
        <f>+E165+F165+G165+H165-I165</f>
        <v>6450900</v>
      </c>
      <c r="K165" s="103" t="e">
        <f>J165/J$184*100</f>
        <v>#REF!</v>
      </c>
    </row>
    <row r="166" spans="1:11" s="423" customFormat="1" x14ac:dyDescent="0.2">
      <c r="A166" s="204">
        <v>7830</v>
      </c>
      <c r="B166" s="205"/>
      <c r="C166" s="206" t="s">
        <v>901</v>
      </c>
      <c r="D166" s="432"/>
      <c r="E166" s="383">
        <v>6450900</v>
      </c>
      <c r="F166" s="383"/>
      <c r="G166" s="383"/>
      <c r="H166" s="383"/>
      <c r="I166" s="383"/>
      <c r="J166" s="383">
        <f>+E166+F166+G166+H166-I166</f>
        <v>6450900</v>
      </c>
      <c r="K166" s="433"/>
    </row>
    <row r="167" spans="1:11" s="423" customFormat="1" x14ac:dyDescent="0.2">
      <c r="A167" s="204"/>
      <c r="B167" s="205"/>
      <c r="C167" s="206"/>
      <c r="D167" s="432"/>
      <c r="E167" s="383"/>
      <c r="F167" s="383"/>
      <c r="G167" s="383"/>
      <c r="H167" s="383"/>
      <c r="I167" s="383"/>
      <c r="J167" s="383"/>
      <c r="K167" s="433"/>
    </row>
    <row r="168" spans="1:11" s="423" customFormat="1" x14ac:dyDescent="0.2">
      <c r="A168" s="204">
        <v>784</v>
      </c>
      <c r="B168" s="205"/>
      <c r="C168" s="206" t="s">
        <v>905</v>
      </c>
      <c r="D168" s="432"/>
      <c r="E168" s="383">
        <f>+E169+E170</f>
        <v>9581300</v>
      </c>
      <c r="F168" s="383"/>
      <c r="G168" s="383"/>
      <c r="H168" s="383"/>
      <c r="I168" s="383"/>
      <c r="J168" s="383">
        <f>+E168+F168+G168+H168-I168</f>
        <v>9581300</v>
      </c>
      <c r="K168" s="103" t="e">
        <f>J168/J$184*100</f>
        <v>#REF!</v>
      </c>
    </row>
    <row r="169" spans="1:11" s="423" customFormat="1" x14ac:dyDescent="0.2">
      <c r="A169" s="204">
        <v>7840</v>
      </c>
      <c r="B169" s="205"/>
      <c r="C169" s="206" t="s">
        <v>903</v>
      </c>
      <c r="D169" s="432"/>
      <c r="E169" s="383">
        <v>9581300</v>
      </c>
      <c r="F169" s="383"/>
      <c r="G169" s="383"/>
      <c r="H169" s="383"/>
      <c r="I169" s="383"/>
      <c r="J169" s="383">
        <f>+E169+F169+G169+H169-I169</f>
        <v>9581300</v>
      </c>
      <c r="K169" s="433"/>
    </row>
    <row r="170" spans="1:11" s="423" customFormat="1" x14ac:dyDescent="0.2">
      <c r="A170" s="204">
        <v>7841</v>
      </c>
      <c r="B170" s="205"/>
      <c r="C170" s="206" t="s">
        <v>904</v>
      </c>
      <c r="D170" s="432"/>
      <c r="E170" s="383">
        <v>0</v>
      </c>
      <c r="F170" s="383"/>
      <c r="G170" s="383"/>
      <c r="H170" s="383"/>
      <c r="I170" s="383"/>
      <c r="J170" s="383">
        <f>+E170+F170+G170+H170-I170</f>
        <v>0</v>
      </c>
      <c r="K170" s="433"/>
    </row>
    <row r="171" spans="1:11" s="423" customFormat="1" x14ac:dyDescent="0.2">
      <c r="A171" s="204"/>
      <c r="B171" s="205"/>
      <c r="C171" s="206"/>
      <c r="D171" s="432"/>
      <c r="E171" s="383"/>
      <c r="F171" s="383"/>
      <c r="G171" s="383"/>
      <c r="H171" s="383"/>
      <c r="I171" s="383"/>
      <c r="J171" s="383"/>
      <c r="K171" s="433"/>
    </row>
    <row r="172" spans="1:11" s="423" customFormat="1" x14ac:dyDescent="0.2">
      <c r="A172" s="204">
        <v>785</v>
      </c>
      <c r="B172" s="205"/>
      <c r="C172" s="206" t="s">
        <v>908</v>
      </c>
      <c r="D172" s="432"/>
      <c r="E172" s="383">
        <f>+E173+E174</f>
        <v>14533400</v>
      </c>
      <c r="F172" s="383"/>
      <c r="G172" s="383"/>
      <c r="H172" s="383"/>
      <c r="I172" s="383"/>
      <c r="J172" s="383">
        <f>+E172+F172+G172+H172-I172</f>
        <v>14533400</v>
      </c>
      <c r="K172" s="103" t="e">
        <f>J172/J$184*100</f>
        <v>#REF!</v>
      </c>
    </row>
    <row r="173" spans="1:11" s="423" customFormat="1" x14ac:dyDescent="0.2">
      <c r="A173" s="204">
        <v>7850</v>
      </c>
      <c r="B173" s="205"/>
      <c r="C173" s="206" t="s">
        <v>906</v>
      </c>
      <c r="D173" s="432"/>
      <c r="E173" s="383">
        <v>4844500</v>
      </c>
      <c r="F173" s="383"/>
      <c r="G173" s="383"/>
      <c r="H173" s="383"/>
      <c r="I173" s="383"/>
      <c r="J173" s="383">
        <f>+E173+F173+G173+H173-I173</f>
        <v>4844500</v>
      </c>
      <c r="K173" s="433"/>
    </row>
    <row r="174" spans="1:11" s="423" customFormat="1" x14ac:dyDescent="0.2">
      <c r="A174" s="204">
        <v>7851</v>
      </c>
      <c r="B174" s="205"/>
      <c r="C174" s="206" t="s">
        <v>907</v>
      </c>
      <c r="D174" s="432"/>
      <c r="E174" s="383">
        <v>9688900</v>
      </c>
      <c r="F174" s="383"/>
      <c r="G174" s="383"/>
      <c r="H174" s="383"/>
      <c r="I174" s="383"/>
      <c r="J174" s="383">
        <f>+E174+F174+G174+H174-I174</f>
        <v>9688900</v>
      </c>
      <c r="K174" s="433"/>
    </row>
    <row r="175" spans="1:11" s="423" customFormat="1" x14ac:dyDescent="0.2">
      <c r="A175" s="204"/>
      <c r="B175" s="205"/>
      <c r="C175" s="206"/>
      <c r="D175" s="432"/>
      <c r="E175" s="383"/>
      <c r="F175" s="383"/>
      <c r="G175" s="383"/>
      <c r="H175" s="383"/>
      <c r="I175" s="383"/>
      <c r="J175" s="383"/>
      <c r="K175" s="433"/>
    </row>
    <row r="176" spans="1:11" s="423" customFormat="1" x14ac:dyDescent="0.2">
      <c r="A176" s="204">
        <v>786</v>
      </c>
      <c r="B176" s="205"/>
      <c r="C176" s="206" t="s">
        <v>910</v>
      </c>
      <c r="D176" s="432"/>
      <c r="E176" s="383">
        <v>0</v>
      </c>
      <c r="F176" s="383"/>
      <c r="G176" s="383"/>
      <c r="H176" s="383"/>
      <c r="I176" s="383"/>
      <c r="J176" s="383">
        <f>+E176+F176+G176+H176-I176</f>
        <v>0</v>
      </c>
      <c r="K176" s="103" t="e">
        <f>J176/J$184*100</f>
        <v>#REF!</v>
      </c>
    </row>
    <row r="177" spans="1:11" s="423" customFormat="1" x14ac:dyDescent="0.2">
      <c r="A177" s="204">
        <v>7860</v>
      </c>
      <c r="B177" s="205"/>
      <c r="C177" s="206" t="s">
        <v>909</v>
      </c>
      <c r="D177" s="432"/>
      <c r="E177" s="383">
        <v>0</v>
      </c>
      <c r="F177" s="383"/>
      <c r="G177" s="383"/>
      <c r="H177" s="383"/>
      <c r="I177" s="383"/>
      <c r="J177" s="383"/>
      <c r="K177" s="433"/>
    </row>
    <row r="178" spans="1:11" s="423" customFormat="1" x14ac:dyDescent="0.2">
      <c r="A178" s="204"/>
      <c r="B178" s="205"/>
      <c r="C178" s="206"/>
      <c r="D178" s="432"/>
      <c r="E178" s="383"/>
      <c r="F178" s="383"/>
      <c r="G178" s="383"/>
      <c r="H178" s="383"/>
      <c r="I178" s="383"/>
      <c r="J178" s="383"/>
      <c r="K178" s="433"/>
    </row>
    <row r="179" spans="1:11" s="423" customFormat="1" x14ac:dyDescent="0.2">
      <c r="A179" s="204">
        <v>787</v>
      </c>
      <c r="B179" s="205"/>
      <c r="C179" s="206" t="s">
        <v>912</v>
      </c>
      <c r="D179" s="432"/>
      <c r="E179" s="383">
        <v>0</v>
      </c>
      <c r="F179" s="383"/>
      <c r="G179" s="383"/>
      <c r="H179" s="383"/>
      <c r="I179" s="383"/>
      <c r="J179" s="383">
        <f>+E179+F179+G179+H179-I179</f>
        <v>0</v>
      </c>
      <c r="K179" s="103" t="e">
        <f>J179/J$184*100</f>
        <v>#REF!</v>
      </c>
    </row>
    <row r="180" spans="1:11" s="423" customFormat="1" x14ac:dyDescent="0.2">
      <c r="A180" s="204">
        <v>7870</v>
      </c>
      <c r="B180" s="205"/>
      <c r="C180" s="206" t="s">
        <v>911</v>
      </c>
      <c r="D180" s="432"/>
      <c r="E180" s="383">
        <v>0</v>
      </c>
      <c r="F180" s="383"/>
      <c r="G180" s="383"/>
      <c r="H180" s="383"/>
      <c r="I180" s="383"/>
      <c r="J180" s="383"/>
      <c r="K180" s="433"/>
    </row>
    <row r="181" spans="1:11" ht="15.75" thickBot="1" x14ac:dyDescent="0.25">
      <c r="A181" s="120"/>
      <c r="B181" s="121"/>
      <c r="C181" s="122"/>
      <c r="D181" s="123"/>
      <c r="E181" s="124"/>
      <c r="F181" s="124"/>
      <c r="G181" s="124"/>
      <c r="H181" s="124"/>
      <c r="I181" s="124"/>
      <c r="J181" s="124"/>
      <c r="K181" s="125"/>
    </row>
    <row r="182" spans="1:11" ht="15.75" thickTop="1" x14ac:dyDescent="0.2">
      <c r="A182" s="126"/>
      <c r="B182" s="126"/>
      <c r="C182" s="127"/>
      <c r="D182" s="127"/>
      <c r="E182" s="128"/>
      <c r="F182" s="128"/>
      <c r="G182" s="128"/>
      <c r="H182" s="128"/>
      <c r="I182" s="128"/>
      <c r="J182" s="128"/>
      <c r="K182" s="128"/>
    </row>
    <row r="183" spans="1:11" ht="16.5" thickBot="1" x14ac:dyDescent="0.3">
      <c r="A183" s="53"/>
      <c r="B183" s="53"/>
      <c r="C183" s="54"/>
      <c r="D183" s="54"/>
      <c r="E183" s="129"/>
      <c r="F183" s="129"/>
      <c r="G183" s="129"/>
      <c r="H183" s="129"/>
      <c r="I183" s="129"/>
      <c r="J183" s="130"/>
      <c r="K183" s="130"/>
    </row>
    <row r="184" spans="1:11" ht="19.5" thickTop="1" thickBot="1" x14ac:dyDescent="0.3">
      <c r="A184" s="53" t="s">
        <v>866</v>
      </c>
      <c r="B184" s="53"/>
      <c r="C184" s="131" t="s">
        <v>583</v>
      </c>
      <c r="D184" s="131"/>
      <c r="E184" s="132"/>
      <c r="F184" s="132"/>
      <c r="G184" s="132"/>
      <c r="H184" s="132"/>
      <c r="I184" s="132"/>
      <c r="J184" s="133" t="e">
        <f>+#REF!</f>
        <v>#REF!</v>
      </c>
      <c r="K184" s="134"/>
    </row>
    <row r="185" spans="1:11" ht="17.25" thickTop="1" thickBot="1" x14ac:dyDescent="0.3">
      <c r="A185" s="53"/>
      <c r="B185" s="53"/>
      <c r="C185" s="54"/>
      <c r="D185" s="54"/>
      <c r="E185" s="129"/>
      <c r="F185" s="10"/>
      <c r="G185" s="10"/>
      <c r="H185" s="10"/>
      <c r="I185" s="134"/>
      <c r="J185" s="10"/>
      <c r="K185" s="10"/>
    </row>
    <row r="186" spans="1:11" ht="16.5" thickTop="1" thickBot="1" x14ac:dyDescent="0.25">
      <c r="A186" s="135"/>
      <c r="B186" s="136"/>
      <c r="C186" s="137"/>
      <c r="D186" s="138"/>
      <c r="E186" s="139"/>
      <c r="F186" s="139"/>
      <c r="G186" s="139"/>
      <c r="H186" s="139"/>
      <c r="I186" s="139"/>
      <c r="J186" s="140"/>
      <c r="K186" s="141"/>
    </row>
    <row r="187" spans="1:11" ht="17.25" thickTop="1" thickBot="1" x14ac:dyDescent="0.3">
      <c r="A187" s="69"/>
      <c r="B187" s="70" t="s">
        <v>83</v>
      </c>
      <c r="C187" s="77" t="s">
        <v>585</v>
      </c>
      <c r="D187" s="142"/>
      <c r="E187" s="73">
        <f>E190+E252+E291+E305+E319-2</f>
        <v>1916814525</v>
      </c>
      <c r="F187" s="73">
        <f>F190+F252+F291+F305+F319</f>
        <v>353522491</v>
      </c>
      <c r="G187" s="73">
        <f>G190+G252+G291+G305+G319+1</f>
        <v>939116368</v>
      </c>
      <c r="H187" s="73">
        <f>H190+H252+H291+H305+H319-1</f>
        <v>522946573</v>
      </c>
      <c r="I187" s="73">
        <f>I190+I252+I291+I305+I319</f>
        <v>552598379</v>
      </c>
      <c r="J187" s="75">
        <f>E187+F187+G187+H187-I187</f>
        <v>3179801578</v>
      </c>
      <c r="K187" s="76" t="e">
        <f>J187/J$184*100</f>
        <v>#REF!</v>
      </c>
    </row>
    <row r="188" spans="1:11" ht="16.5" thickTop="1" x14ac:dyDescent="0.25">
      <c r="A188" s="69"/>
      <c r="B188" s="70"/>
      <c r="C188" s="77" t="s">
        <v>587</v>
      </c>
      <c r="D188" s="142"/>
      <c r="E188" s="143"/>
      <c r="F188" s="73"/>
      <c r="G188" s="73"/>
      <c r="H188" s="73"/>
      <c r="I188" s="73"/>
      <c r="J188" s="80"/>
      <c r="K188" s="144"/>
    </row>
    <row r="189" spans="1:11" x14ac:dyDescent="0.2">
      <c r="A189" s="82"/>
      <c r="B189" s="94"/>
      <c r="C189" s="95"/>
      <c r="D189" s="145"/>
      <c r="E189" s="34"/>
      <c r="F189" s="34"/>
      <c r="G189" s="34"/>
      <c r="H189" s="34"/>
      <c r="I189" s="34"/>
      <c r="J189" s="34"/>
      <c r="K189" s="105"/>
    </row>
    <row r="190" spans="1:11" ht="15.75" x14ac:dyDescent="0.25">
      <c r="A190" s="88">
        <v>40</v>
      </c>
      <c r="B190" s="89"/>
      <c r="C190" s="90" t="s">
        <v>588</v>
      </c>
      <c r="D190" s="146"/>
      <c r="E190" s="32">
        <f>E193+E206+E216+E232+E239+E246</f>
        <v>944094337</v>
      </c>
      <c r="F190" s="32">
        <f>F193+F206+F216+F232+F239+F246</f>
        <v>143113753</v>
      </c>
      <c r="G190" s="32">
        <f>G193+G206+G216+G232+G239+G246</f>
        <v>11225769</v>
      </c>
      <c r="H190" s="32">
        <f>H193+H206+H216+H232+H239+H246</f>
        <v>465059481</v>
      </c>
      <c r="I190" s="32">
        <f>+I206+I216</f>
        <v>122385751</v>
      </c>
      <c r="J190" s="32">
        <f>E190+F190+G190+H190-I190</f>
        <v>1441107589</v>
      </c>
      <c r="K190" s="92" t="e">
        <f>J190/J$184*100</f>
        <v>#REF!</v>
      </c>
    </row>
    <row r="191" spans="1:11" x14ac:dyDescent="0.2">
      <c r="A191" s="147"/>
      <c r="B191" s="148"/>
      <c r="C191" s="96" t="s">
        <v>816</v>
      </c>
      <c r="D191" s="145"/>
      <c r="E191" s="34"/>
      <c r="F191" s="34"/>
      <c r="G191" s="34"/>
      <c r="H191" s="34"/>
      <c r="I191" s="34"/>
      <c r="J191" s="34"/>
      <c r="K191" s="105"/>
    </row>
    <row r="192" spans="1:11" x14ac:dyDescent="0.2">
      <c r="A192" s="82"/>
      <c r="B192" s="94"/>
      <c r="C192" s="95"/>
      <c r="D192" s="145"/>
      <c r="E192" s="34"/>
      <c r="F192" s="34"/>
      <c r="G192" s="34"/>
      <c r="H192" s="34"/>
      <c r="I192" s="34"/>
      <c r="J192" s="34"/>
      <c r="K192" s="105"/>
    </row>
    <row r="193" spans="1:13" x14ac:dyDescent="0.2">
      <c r="A193" s="99"/>
      <c r="B193" s="100"/>
      <c r="C193" s="101" t="s">
        <v>817</v>
      </c>
      <c r="D193" s="149"/>
      <c r="E193" s="31">
        <f>+E195+E204</f>
        <v>479767557</v>
      </c>
      <c r="F193" s="31">
        <f>+F195+F204</f>
        <v>41088220</v>
      </c>
      <c r="G193" s="31">
        <f>+G195+G204</f>
        <v>3936889</v>
      </c>
      <c r="H193" s="31">
        <f>+H195+H204</f>
        <v>161674555</v>
      </c>
      <c r="I193" s="31">
        <f>+I195+I204</f>
        <v>0</v>
      </c>
      <c r="J193" s="31">
        <f>E193+F193+G193+H193-I193</f>
        <v>686467221</v>
      </c>
      <c r="K193" s="103" t="e">
        <f>J193/J$184*100</f>
        <v>#REF!</v>
      </c>
    </row>
    <row r="194" spans="1:13" x14ac:dyDescent="0.2">
      <c r="A194" s="82"/>
      <c r="B194" s="94"/>
      <c r="C194" s="96"/>
      <c r="D194" s="145"/>
      <c r="E194" s="86"/>
      <c r="F194" s="86"/>
      <c r="G194" s="86"/>
      <c r="H194" s="86"/>
      <c r="I194" s="86"/>
      <c r="J194" s="86"/>
      <c r="K194" s="110"/>
    </row>
    <row r="195" spans="1:13" x14ac:dyDescent="0.2">
      <c r="A195" s="99">
        <v>400</v>
      </c>
      <c r="B195" s="100"/>
      <c r="C195" s="101" t="s">
        <v>818</v>
      </c>
      <c r="D195" s="149"/>
      <c r="E195" s="31">
        <f>SUM(E196:E202)</f>
        <v>209675628</v>
      </c>
      <c r="F195" s="31">
        <v>19340748</v>
      </c>
      <c r="G195" s="31">
        <v>3936889</v>
      </c>
      <c r="H195" s="31">
        <v>4729496</v>
      </c>
      <c r="I195" s="31">
        <v>0</v>
      </c>
      <c r="J195" s="31">
        <f>E195+F195+G195+H195-I195</f>
        <v>237682761</v>
      </c>
      <c r="K195" s="103" t="e">
        <f>J195/J$184*100</f>
        <v>#REF!</v>
      </c>
    </row>
    <row r="196" spans="1:13" x14ac:dyDescent="0.2">
      <c r="A196" s="99">
        <v>4000</v>
      </c>
      <c r="B196" s="100"/>
      <c r="C196" s="101" t="s">
        <v>593</v>
      </c>
      <c r="D196" s="149"/>
      <c r="E196" s="31">
        <v>178717018</v>
      </c>
      <c r="F196" s="202" t="s">
        <v>845</v>
      </c>
      <c r="G196" s="202" t="s">
        <v>845</v>
      </c>
      <c r="H196" s="202" t="s">
        <v>845</v>
      </c>
      <c r="I196" s="202" t="s">
        <v>845</v>
      </c>
      <c r="J196" s="202" t="s">
        <v>845</v>
      </c>
      <c r="K196" s="103"/>
    </row>
    <row r="197" spans="1:13" x14ac:dyDescent="0.2">
      <c r="A197" s="99">
        <v>4001</v>
      </c>
      <c r="B197" s="100"/>
      <c r="C197" s="101" t="s">
        <v>595</v>
      </c>
      <c r="D197" s="149"/>
      <c r="E197" s="31">
        <v>6165675</v>
      </c>
      <c r="F197" s="202" t="s">
        <v>845</v>
      </c>
      <c r="G197" s="202" t="s">
        <v>845</v>
      </c>
      <c r="H197" s="202" t="s">
        <v>845</v>
      </c>
      <c r="I197" s="202" t="s">
        <v>845</v>
      </c>
      <c r="J197" s="202" t="s">
        <v>845</v>
      </c>
      <c r="K197" s="103"/>
    </row>
    <row r="198" spans="1:13" x14ac:dyDescent="0.2">
      <c r="A198" s="99">
        <v>4002</v>
      </c>
      <c r="B198" s="100"/>
      <c r="C198" s="101" t="s">
        <v>597</v>
      </c>
      <c r="D198" s="149"/>
      <c r="E198" s="31">
        <v>16765156</v>
      </c>
      <c r="F198" s="202" t="s">
        <v>845</v>
      </c>
      <c r="G198" s="202" t="s">
        <v>845</v>
      </c>
      <c r="H198" s="202" t="s">
        <v>845</v>
      </c>
      <c r="I198" s="202" t="s">
        <v>845</v>
      </c>
      <c r="J198" s="202" t="s">
        <v>845</v>
      </c>
      <c r="K198" s="103"/>
    </row>
    <row r="199" spans="1:13" x14ac:dyDescent="0.2">
      <c r="A199" s="99">
        <v>4003</v>
      </c>
      <c r="B199" s="100"/>
      <c r="C199" s="101" t="s">
        <v>599</v>
      </c>
      <c r="D199" s="149"/>
      <c r="E199" s="31">
        <v>4297724</v>
      </c>
      <c r="F199" s="202" t="s">
        <v>845</v>
      </c>
      <c r="G199" s="202" t="s">
        <v>845</v>
      </c>
      <c r="H199" s="202" t="s">
        <v>845</v>
      </c>
      <c r="I199" s="202" t="s">
        <v>845</v>
      </c>
      <c r="J199" s="202" t="s">
        <v>845</v>
      </c>
      <c r="K199" s="103"/>
    </row>
    <row r="200" spans="1:13" x14ac:dyDescent="0.2">
      <c r="A200" s="99">
        <v>4004</v>
      </c>
      <c r="B200" s="100"/>
      <c r="C200" s="101" t="s">
        <v>601</v>
      </c>
      <c r="D200" s="149"/>
      <c r="E200" s="31">
        <v>2237392</v>
      </c>
      <c r="F200" s="202" t="s">
        <v>845</v>
      </c>
      <c r="G200" s="202" t="s">
        <v>845</v>
      </c>
      <c r="H200" s="202" t="s">
        <v>845</v>
      </c>
      <c r="I200" s="202" t="s">
        <v>845</v>
      </c>
      <c r="J200" s="202" t="s">
        <v>845</v>
      </c>
      <c r="K200" s="103"/>
      <c r="M200" s="431"/>
    </row>
    <row r="201" spans="1:13" x14ac:dyDescent="0.2">
      <c r="A201" s="99">
        <v>4005</v>
      </c>
      <c r="B201" s="100"/>
      <c r="C201" s="101" t="s">
        <v>603</v>
      </c>
      <c r="D201" s="149"/>
      <c r="E201" s="31">
        <v>26027</v>
      </c>
      <c r="F201" s="202" t="s">
        <v>845</v>
      </c>
      <c r="G201" s="202" t="s">
        <v>845</v>
      </c>
      <c r="H201" s="202" t="s">
        <v>845</v>
      </c>
      <c r="I201" s="202" t="s">
        <v>845</v>
      </c>
      <c r="J201" s="202" t="s">
        <v>845</v>
      </c>
      <c r="K201" s="103"/>
    </row>
    <row r="202" spans="1:13" x14ac:dyDescent="0.2">
      <c r="A202" s="99">
        <v>4009</v>
      </c>
      <c r="B202" s="100"/>
      <c r="C202" s="101" t="s">
        <v>605</v>
      </c>
      <c r="D202" s="149"/>
      <c r="E202" s="31">
        <v>1466636</v>
      </c>
      <c r="F202" s="202" t="s">
        <v>845</v>
      </c>
      <c r="G202" s="202" t="s">
        <v>845</v>
      </c>
      <c r="H202" s="202" t="s">
        <v>845</v>
      </c>
      <c r="I202" s="202" t="s">
        <v>845</v>
      </c>
      <c r="J202" s="202" t="s">
        <v>845</v>
      </c>
      <c r="K202" s="103"/>
    </row>
    <row r="203" spans="1:13" x14ac:dyDescent="0.2">
      <c r="A203" s="82"/>
      <c r="B203" s="94"/>
      <c r="C203" s="95"/>
      <c r="D203" s="145"/>
      <c r="E203" s="34"/>
      <c r="F203" s="34"/>
      <c r="G203" s="34"/>
      <c r="H203" s="86"/>
      <c r="I203" s="34"/>
      <c r="J203" s="34"/>
      <c r="K203" s="110"/>
    </row>
    <row r="204" spans="1:13" x14ac:dyDescent="0.2">
      <c r="A204" s="99">
        <v>413300</v>
      </c>
      <c r="B204" s="100"/>
      <c r="C204" s="101" t="s">
        <v>819</v>
      </c>
      <c r="D204" s="149"/>
      <c r="E204" s="31">
        <v>270091929</v>
      </c>
      <c r="F204" s="31">
        <v>21747472</v>
      </c>
      <c r="G204" s="31">
        <v>0</v>
      </c>
      <c r="H204" s="31">
        <f>150050492+6894567</f>
        <v>156945059</v>
      </c>
      <c r="I204" s="31">
        <v>0</v>
      </c>
      <c r="J204" s="31">
        <f>E204+F204+G204+H204-I204</f>
        <v>448784460</v>
      </c>
      <c r="K204" s="103" t="e">
        <f>J204/J$184*100</f>
        <v>#REF!</v>
      </c>
    </row>
    <row r="205" spans="1:13" x14ac:dyDescent="0.2">
      <c r="A205" s="82"/>
      <c r="B205" s="94"/>
      <c r="C205" s="95"/>
      <c r="D205" s="145"/>
      <c r="E205" s="34"/>
      <c r="F205" s="34"/>
      <c r="G205" s="34"/>
      <c r="H205" s="34"/>
      <c r="I205" s="34"/>
      <c r="J205" s="34"/>
      <c r="K205" s="150"/>
    </row>
    <row r="206" spans="1:13" x14ac:dyDescent="0.2">
      <c r="A206" s="151"/>
      <c r="B206" s="115"/>
      <c r="C206" s="112" t="s">
        <v>820</v>
      </c>
      <c r="D206" s="152"/>
      <c r="E206" s="113">
        <f>+E208+E214</f>
        <v>82649372</v>
      </c>
      <c r="F206" s="113">
        <f>+F208+F214</f>
        <v>6063618</v>
      </c>
      <c r="G206" s="113">
        <f>+G208+G214</f>
        <v>539728</v>
      </c>
      <c r="H206" s="113">
        <f>+H208+H214</f>
        <v>33133033</v>
      </c>
      <c r="I206" s="426">
        <f>+I208+I214</f>
        <v>122385751</v>
      </c>
      <c r="J206" s="113">
        <f>E206+F206+G206+H206-I206</f>
        <v>0</v>
      </c>
      <c r="K206" s="110"/>
    </row>
    <row r="207" spans="1:13" x14ac:dyDescent="0.2">
      <c r="A207" s="151"/>
      <c r="B207" s="115"/>
      <c r="C207" s="112"/>
      <c r="D207" s="152"/>
      <c r="E207" s="113"/>
      <c r="F207" s="113"/>
      <c r="G207" s="113"/>
      <c r="H207" s="113"/>
      <c r="I207" s="113"/>
      <c r="J207" s="113"/>
      <c r="K207" s="110"/>
    </row>
    <row r="208" spans="1:13" x14ac:dyDescent="0.2">
      <c r="A208" s="106">
        <v>401</v>
      </c>
      <c r="B208" s="107"/>
      <c r="C208" s="108" t="s">
        <v>832</v>
      </c>
      <c r="D208" s="153"/>
      <c r="E208" s="109">
        <f>SUM(E209:E212)</f>
        <v>33622202</v>
      </c>
      <c r="F208" s="109">
        <f>SUM(F209:F212)</f>
        <v>2789274</v>
      </c>
      <c r="G208" s="109">
        <f>SUM(G209:G212)</f>
        <v>539728</v>
      </c>
      <c r="H208" s="109">
        <f>SUM(H209:H212)</f>
        <v>673114</v>
      </c>
      <c r="I208" s="109">
        <f>SUM(I209:I212)</f>
        <v>37624318</v>
      </c>
      <c r="J208" s="109">
        <f>E208+F208+G208+H208-I208</f>
        <v>0</v>
      </c>
      <c r="K208" s="103"/>
    </row>
    <row r="209" spans="1:11" x14ac:dyDescent="0.2">
      <c r="A209" s="106">
        <v>4010</v>
      </c>
      <c r="B209" s="107"/>
      <c r="C209" s="108" t="s">
        <v>608</v>
      </c>
      <c r="D209" s="153"/>
      <c r="E209" s="109">
        <v>20766639</v>
      </c>
      <c r="F209" s="109">
        <v>1757238</v>
      </c>
      <c r="G209" s="109">
        <v>296651</v>
      </c>
      <c r="H209" s="109">
        <v>374658</v>
      </c>
      <c r="I209" s="109">
        <f>E209+F209+G209+H209</f>
        <v>23195186</v>
      </c>
      <c r="J209" s="109">
        <f>E209+F209+G209+H209-I209</f>
        <v>0</v>
      </c>
      <c r="K209" s="104"/>
    </row>
    <row r="210" spans="1:11" x14ac:dyDescent="0.2">
      <c r="A210" s="106">
        <v>4011</v>
      </c>
      <c r="B210" s="107"/>
      <c r="C210" s="108" t="s">
        <v>613</v>
      </c>
      <c r="D210" s="153"/>
      <c r="E210" s="109">
        <v>12563084</v>
      </c>
      <c r="F210" s="109">
        <v>998559</v>
      </c>
      <c r="G210" s="109">
        <v>237706</v>
      </c>
      <c r="H210" s="109">
        <v>291683</v>
      </c>
      <c r="I210" s="109">
        <f>E210+F210+G210+H210</f>
        <v>14091032</v>
      </c>
      <c r="J210" s="109">
        <f>E210+F210+G210+H210-I210</f>
        <v>0</v>
      </c>
      <c r="K210" s="104"/>
    </row>
    <row r="211" spans="1:11" x14ac:dyDescent="0.2">
      <c r="A211" s="106">
        <v>4012</v>
      </c>
      <c r="B211" s="107"/>
      <c r="C211" s="108" t="s">
        <v>615</v>
      </c>
      <c r="D211" s="153"/>
      <c r="E211" s="109">
        <v>109466</v>
      </c>
      <c r="F211" s="109">
        <v>15346</v>
      </c>
      <c r="G211" s="109">
        <v>2025</v>
      </c>
      <c r="H211" s="109">
        <v>2540</v>
      </c>
      <c r="I211" s="109">
        <f>E211+F211+G211+H211</f>
        <v>129377</v>
      </c>
      <c r="J211" s="109">
        <f>E211+F211+G211+H211-I211</f>
        <v>0</v>
      </c>
      <c r="K211" s="104"/>
    </row>
    <row r="212" spans="1:11" x14ac:dyDescent="0.2">
      <c r="A212" s="106">
        <v>4013</v>
      </c>
      <c r="B212" s="107"/>
      <c r="C212" s="108" t="s">
        <v>617</v>
      </c>
      <c r="D212" s="153"/>
      <c r="E212" s="109">
        <v>183013</v>
      </c>
      <c r="F212" s="109">
        <v>18131</v>
      </c>
      <c r="G212" s="109">
        <v>3346</v>
      </c>
      <c r="H212" s="109">
        <v>4233</v>
      </c>
      <c r="I212" s="109">
        <f>E212+F212+G212+H212</f>
        <v>208723</v>
      </c>
      <c r="J212" s="109">
        <f>E212+F212+G212+H212-I212</f>
        <v>0</v>
      </c>
      <c r="K212" s="104"/>
    </row>
    <row r="213" spans="1:11" x14ac:dyDescent="0.2">
      <c r="A213" s="114"/>
      <c r="B213" s="115"/>
      <c r="C213" s="154"/>
      <c r="D213" s="152"/>
      <c r="E213" s="116"/>
      <c r="F213" s="116"/>
      <c r="G213" s="116"/>
      <c r="H213" s="116"/>
      <c r="I213" s="116"/>
      <c r="J213" s="116"/>
      <c r="K213" s="105"/>
    </row>
    <row r="214" spans="1:11" x14ac:dyDescent="0.2">
      <c r="A214" s="106">
        <v>413301</v>
      </c>
      <c r="B214" s="107"/>
      <c r="C214" s="108" t="s">
        <v>821</v>
      </c>
      <c r="D214" s="153"/>
      <c r="E214" s="109">
        <v>49027170</v>
      </c>
      <c r="F214" s="109">
        <v>3274344</v>
      </c>
      <c r="G214" s="109">
        <v>0</v>
      </c>
      <c r="H214" s="109">
        <v>32459919</v>
      </c>
      <c r="I214" s="109">
        <f>E214+F214+G214+H214</f>
        <v>84761433</v>
      </c>
      <c r="J214" s="109">
        <f>E214+F214+G214+H214-I214</f>
        <v>0</v>
      </c>
      <c r="K214" s="104"/>
    </row>
    <row r="215" spans="1:11" x14ac:dyDescent="0.2">
      <c r="A215" s="82"/>
      <c r="B215" s="94"/>
      <c r="C215" s="95"/>
      <c r="D215" s="145"/>
      <c r="E215" s="34"/>
      <c r="F215" s="34"/>
      <c r="G215" s="34"/>
      <c r="H215" s="34"/>
      <c r="I215" s="34"/>
      <c r="J215" s="34"/>
      <c r="K215" s="105"/>
    </row>
    <row r="216" spans="1:11" x14ac:dyDescent="0.2">
      <c r="A216" s="99"/>
      <c r="B216" s="100"/>
      <c r="C216" s="101" t="s">
        <v>822</v>
      </c>
      <c r="D216" s="149"/>
      <c r="E216" s="31">
        <f t="shared" ref="E216:J216" si="16">+E218+E230</f>
        <v>251494079</v>
      </c>
      <c r="F216" s="31">
        <f t="shared" si="16"/>
        <v>92909951</v>
      </c>
      <c r="G216" s="31">
        <f t="shared" si="16"/>
        <v>6399152</v>
      </c>
      <c r="H216" s="31">
        <f t="shared" si="16"/>
        <v>269596893</v>
      </c>
      <c r="I216" s="31">
        <f t="shared" si="16"/>
        <v>0</v>
      </c>
      <c r="J216" s="31">
        <f t="shared" si="16"/>
        <v>620400075</v>
      </c>
      <c r="K216" s="103" t="e">
        <f>J216/J$184*100</f>
        <v>#REF!</v>
      </c>
    </row>
    <row r="217" spans="1:11" x14ac:dyDescent="0.2">
      <c r="A217" s="82"/>
      <c r="B217" s="94"/>
      <c r="C217" s="96"/>
      <c r="D217" s="145"/>
      <c r="E217" s="86"/>
      <c r="F217" s="86"/>
      <c r="G217" s="86"/>
      <c r="H217" s="86"/>
      <c r="I217" s="86"/>
      <c r="J217" s="86"/>
      <c r="K217" s="110"/>
    </row>
    <row r="218" spans="1:11" x14ac:dyDescent="0.2">
      <c r="A218" s="99">
        <v>402</v>
      </c>
      <c r="B218" s="100"/>
      <c r="C218" s="101" t="s">
        <v>833</v>
      </c>
      <c r="D218" s="149"/>
      <c r="E218" s="31">
        <f>SUM(E219:E228)</f>
        <v>196104368</v>
      </c>
      <c r="F218" s="31">
        <f>SUM(F219:F228)</f>
        <v>58066323</v>
      </c>
      <c r="G218" s="31">
        <v>6399152</v>
      </c>
      <c r="H218" s="31">
        <v>5016300</v>
      </c>
      <c r="I218" s="31">
        <f>SUM(I219:I228)</f>
        <v>0</v>
      </c>
      <c r="J218" s="31">
        <f>E218+F218+G218+H218-I218</f>
        <v>265586143</v>
      </c>
      <c r="K218" s="103" t="e">
        <f>J218/J$184*100</f>
        <v>#REF!</v>
      </c>
    </row>
    <row r="219" spans="1:11" x14ac:dyDescent="0.2">
      <c r="A219" s="99">
        <v>4020</v>
      </c>
      <c r="B219" s="100"/>
      <c r="C219" s="101" t="s">
        <v>937</v>
      </c>
      <c r="D219" s="149"/>
      <c r="E219" s="31">
        <v>24635001</v>
      </c>
      <c r="F219" s="31">
        <v>8229045</v>
      </c>
      <c r="G219" s="202" t="s">
        <v>845</v>
      </c>
      <c r="H219" s="202" t="s">
        <v>845</v>
      </c>
      <c r="I219" s="202" t="s">
        <v>845</v>
      </c>
      <c r="J219" s="202" t="s">
        <v>845</v>
      </c>
      <c r="K219" s="155"/>
    </row>
    <row r="220" spans="1:11" x14ac:dyDescent="0.2">
      <c r="A220" s="99">
        <v>4021</v>
      </c>
      <c r="B220" s="100"/>
      <c r="C220" s="101" t="s">
        <v>939</v>
      </c>
      <c r="D220" s="149"/>
      <c r="E220" s="31">
        <v>49231284</v>
      </c>
      <c r="F220" s="31">
        <v>1953599</v>
      </c>
      <c r="G220" s="202" t="s">
        <v>845</v>
      </c>
      <c r="H220" s="202" t="s">
        <v>845</v>
      </c>
      <c r="I220" s="202" t="s">
        <v>845</v>
      </c>
      <c r="J220" s="202" t="s">
        <v>845</v>
      </c>
      <c r="K220" s="155"/>
    </row>
    <row r="221" spans="1:11" x14ac:dyDescent="0.2">
      <c r="A221" s="99">
        <v>4022</v>
      </c>
      <c r="B221" s="100"/>
      <c r="C221" s="101" t="s">
        <v>941</v>
      </c>
      <c r="D221" s="149"/>
      <c r="E221" s="31">
        <v>15553832</v>
      </c>
      <c r="F221" s="31">
        <v>7226325</v>
      </c>
      <c r="G221" s="202" t="s">
        <v>845</v>
      </c>
      <c r="H221" s="202" t="s">
        <v>845</v>
      </c>
      <c r="I221" s="202" t="s">
        <v>845</v>
      </c>
      <c r="J221" s="202" t="s">
        <v>845</v>
      </c>
      <c r="K221" s="155"/>
    </row>
    <row r="222" spans="1:11" x14ac:dyDescent="0.2">
      <c r="A222" s="99">
        <v>4023</v>
      </c>
      <c r="B222" s="100"/>
      <c r="C222" s="101" t="s">
        <v>943</v>
      </c>
      <c r="D222" s="149"/>
      <c r="E222" s="31">
        <v>9745677</v>
      </c>
      <c r="F222" s="31">
        <v>657967</v>
      </c>
      <c r="G222" s="202" t="s">
        <v>845</v>
      </c>
      <c r="H222" s="202" t="s">
        <v>845</v>
      </c>
      <c r="I222" s="202" t="s">
        <v>845</v>
      </c>
      <c r="J222" s="202" t="s">
        <v>845</v>
      </c>
      <c r="K222" s="155"/>
    </row>
    <row r="223" spans="1:11" x14ac:dyDescent="0.2">
      <c r="A223" s="99">
        <v>4024</v>
      </c>
      <c r="B223" s="100"/>
      <c r="C223" s="101" t="s">
        <v>945</v>
      </c>
      <c r="D223" s="149"/>
      <c r="E223" s="31">
        <v>8721835</v>
      </c>
      <c r="F223" s="31">
        <v>395870</v>
      </c>
      <c r="G223" s="202" t="s">
        <v>845</v>
      </c>
      <c r="H223" s="202" t="s">
        <v>845</v>
      </c>
      <c r="I223" s="202" t="s">
        <v>845</v>
      </c>
      <c r="J223" s="202" t="s">
        <v>845</v>
      </c>
      <c r="K223" s="155"/>
    </row>
    <row r="224" spans="1:11" x14ac:dyDescent="0.2">
      <c r="A224" s="99">
        <v>4025</v>
      </c>
      <c r="B224" s="100"/>
      <c r="C224" s="101" t="s">
        <v>947</v>
      </c>
      <c r="D224" s="149"/>
      <c r="E224" s="31">
        <v>27113463</v>
      </c>
      <c r="F224" s="31">
        <v>23409105</v>
      </c>
      <c r="G224" s="202" t="s">
        <v>845</v>
      </c>
      <c r="H224" s="202" t="s">
        <v>845</v>
      </c>
      <c r="I224" s="202" t="s">
        <v>845</v>
      </c>
      <c r="J224" s="202" t="s">
        <v>845</v>
      </c>
      <c r="K224" s="155"/>
    </row>
    <row r="225" spans="1:11" x14ac:dyDescent="0.2">
      <c r="A225" s="99">
        <v>4026</v>
      </c>
      <c r="B225" s="100"/>
      <c r="C225" s="101" t="s">
        <v>949</v>
      </c>
      <c r="D225" s="149"/>
      <c r="E225" s="31">
        <v>13835776</v>
      </c>
      <c r="F225" s="31">
        <v>1036174</v>
      </c>
      <c r="G225" s="202" t="s">
        <v>845</v>
      </c>
      <c r="H225" s="202" t="s">
        <v>845</v>
      </c>
      <c r="I225" s="202" t="s">
        <v>845</v>
      </c>
      <c r="J225" s="202" t="s">
        <v>845</v>
      </c>
      <c r="K225" s="155"/>
    </row>
    <row r="226" spans="1:11" x14ac:dyDescent="0.2">
      <c r="A226" s="99">
        <v>4027</v>
      </c>
      <c r="B226" s="100"/>
      <c r="C226" s="101" t="s">
        <v>951</v>
      </c>
      <c r="D226" s="149"/>
      <c r="E226" s="31">
        <v>2934827</v>
      </c>
      <c r="F226" s="31">
        <v>2255151</v>
      </c>
      <c r="G226" s="202" t="s">
        <v>845</v>
      </c>
      <c r="H226" s="202" t="s">
        <v>845</v>
      </c>
      <c r="I226" s="202" t="s">
        <v>845</v>
      </c>
      <c r="J226" s="202" t="s">
        <v>845</v>
      </c>
      <c r="K226" s="155"/>
    </row>
    <row r="227" spans="1:11" x14ac:dyDescent="0.2">
      <c r="A227" s="99">
        <v>4028</v>
      </c>
      <c r="B227" s="100"/>
      <c r="C227" s="101" t="s">
        <v>265</v>
      </c>
      <c r="D227" s="149"/>
      <c r="E227" s="31">
        <v>10308622</v>
      </c>
      <c r="F227" s="31">
        <v>899589</v>
      </c>
      <c r="G227" s="202" t="s">
        <v>845</v>
      </c>
      <c r="H227" s="202" t="s">
        <v>845</v>
      </c>
      <c r="I227" s="202" t="s">
        <v>845</v>
      </c>
      <c r="J227" s="202" t="s">
        <v>845</v>
      </c>
      <c r="K227" s="155"/>
    </row>
    <row r="228" spans="1:11" x14ac:dyDescent="0.2">
      <c r="A228" s="99">
        <v>4029</v>
      </c>
      <c r="B228" s="100"/>
      <c r="C228" s="101" t="s">
        <v>953</v>
      </c>
      <c r="D228" s="149"/>
      <c r="E228" s="31">
        <v>34024051</v>
      </c>
      <c r="F228" s="31">
        <v>12003498</v>
      </c>
      <c r="G228" s="202" t="s">
        <v>845</v>
      </c>
      <c r="H228" s="202" t="s">
        <v>845</v>
      </c>
      <c r="I228" s="202" t="s">
        <v>845</v>
      </c>
      <c r="J228" s="202" t="s">
        <v>845</v>
      </c>
      <c r="K228" s="155"/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87"/>
    </row>
    <row r="230" spans="1:11" x14ac:dyDescent="0.2">
      <c r="A230" s="99">
        <v>413302</v>
      </c>
      <c r="B230" s="100"/>
      <c r="C230" s="101" t="s">
        <v>823</v>
      </c>
      <c r="D230" s="149"/>
      <c r="E230" s="31">
        <v>55389711</v>
      </c>
      <c r="F230" s="31">
        <v>34843628</v>
      </c>
      <c r="G230" s="31">
        <v>0</v>
      </c>
      <c r="H230" s="31">
        <f>124756554-6289067+67389000+62851931+12444066+2795230+632879</f>
        <v>264580593</v>
      </c>
      <c r="I230" s="31">
        <v>0</v>
      </c>
      <c r="J230" s="31">
        <f>E230+F230+G230+H230-I230</f>
        <v>354813932</v>
      </c>
      <c r="K230" s="103" t="e">
        <f>J230/J$184*100</f>
        <v>#REF!</v>
      </c>
    </row>
    <row r="231" spans="1:11" x14ac:dyDescent="0.2">
      <c r="A231" s="82"/>
      <c r="B231" s="94"/>
      <c r="C231" s="95"/>
      <c r="D231" s="145"/>
      <c r="E231" s="34"/>
      <c r="F231" s="34"/>
      <c r="G231" s="34"/>
      <c r="H231" s="34"/>
      <c r="I231" s="34"/>
      <c r="J231" s="34"/>
      <c r="K231" s="105"/>
    </row>
    <row r="232" spans="1:11" x14ac:dyDescent="0.2">
      <c r="A232" s="99">
        <v>403</v>
      </c>
      <c r="B232" s="100"/>
      <c r="C232" s="101" t="s">
        <v>957</v>
      </c>
      <c r="D232" s="149"/>
      <c r="E232" s="31">
        <f>SUM(E233:E237)</f>
        <v>74820478</v>
      </c>
      <c r="F232" s="31">
        <f>SUM(F233:F237)</f>
        <v>1176136</v>
      </c>
      <c r="G232" s="31">
        <f>SUM(G233:G237)</f>
        <v>350000</v>
      </c>
      <c r="H232" s="31">
        <v>655000</v>
      </c>
      <c r="I232" s="31">
        <f>SUM(I233:I237)</f>
        <v>0</v>
      </c>
      <c r="J232" s="31">
        <f>E232+F232+G232+H232-I232</f>
        <v>77001614</v>
      </c>
      <c r="K232" s="103" t="e">
        <f t="shared" ref="K232:K237" si="17">J232/J$184*100</f>
        <v>#REF!</v>
      </c>
    </row>
    <row r="233" spans="1:11" x14ac:dyDescent="0.2">
      <c r="A233" s="99">
        <v>4030</v>
      </c>
      <c r="B233" s="100"/>
      <c r="C233" s="101" t="s">
        <v>959</v>
      </c>
      <c r="D233" s="149"/>
      <c r="E233" s="31">
        <v>0</v>
      </c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 t="shared" si="17"/>
        <v>#REF!</v>
      </c>
    </row>
    <row r="234" spans="1:11" x14ac:dyDescent="0.2">
      <c r="A234" s="99">
        <v>4031</v>
      </c>
      <c r="B234" s="100"/>
      <c r="C234" s="101" t="s">
        <v>961</v>
      </c>
      <c r="D234" s="149"/>
      <c r="E234" s="31">
        <v>8461415</v>
      </c>
      <c r="F234" s="31">
        <v>897995</v>
      </c>
      <c r="G234" s="31">
        <v>350000</v>
      </c>
      <c r="H234" s="31">
        <v>0</v>
      </c>
      <c r="I234" s="31"/>
      <c r="J234" s="31">
        <f>E234+F234+G234+H234</f>
        <v>9709410</v>
      </c>
      <c r="K234" s="103" t="e">
        <f t="shared" si="17"/>
        <v>#REF!</v>
      </c>
    </row>
    <row r="235" spans="1:11" x14ac:dyDescent="0.2">
      <c r="A235" s="99">
        <v>4032</v>
      </c>
      <c r="B235" s="100"/>
      <c r="C235" s="101" t="s">
        <v>963</v>
      </c>
      <c r="D235" s="149"/>
      <c r="E235" s="31">
        <v>180000</v>
      </c>
      <c r="F235" s="31">
        <v>26513</v>
      </c>
      <c r="G235" s="31"/>
      <c r="H235" s="31">
        <v>0</v>
      </c>
      <c r="I235" s="31"/>
      <c r="J235" s="31">
        <f>E235+F235+G235+H235</f>
        <v>206513</v>
      </c>
      <c r="K235" s="103" t="e">
        <f t="shared" si="17"/>
        <v>#REF!</v>
      </c>
    </row>
    <row r="236" spans="1:11" x14ac:dyDescent="0.2">
      <c r="A236" s="99">
        <v>4033</v>
      </c>
      <c r="B236" s="100"/>
      <c r="C236" s="101" t="s">
        <v>965</v>
      </c>
      <c r="D236" s="149"/>
      <c r="E236" s="31">
        <v>0</v>
      </c>
      <c r="F236" s="31">
        <v>237766</v>
      </c>
      <c r="G236" s="31"/>
      <c r="H236" s="31">
        <v>0</v>
      </c>
      <c r="I236" s="31"/>
      <c r="J236" s="31">
        <f>E236+F236+G236+H236</f>
        <v>237766</v>
      </c>
      <c r="K236" s="103" t="e">
        <f t="shared" si="17"/>
        <v>#REF!</v>
      </c>
    </row>
    <row r="237" spans="1:11" x14ac:dyDescent="0.2">
      <c r="A237" s="99">
        <v>4034</v>
      </c>
      <c r="B237" s="100"/>
      <c r="C237" s="101" t="s">
        <v>967</v>
      </c>
      <c r="D237" s="149"/>
      <c r="E237" s="31">
        <v>66179063</v>
      </c>
      <c r="F237" s="31">
        <v>13862</v>
      </c>
      <c r="G237" s="31"/>
      <c r="H237" s="31">
        <v>0</v>
      </c>
      <c r="I237" s="31"/>
      <c r="J237" s="31">
        <f>E237+F237+G237+H237</f>
        <v>66192925</v>
      </c>
      <c r="K237" s="103" t="e">
        <f t="shared" si="17"/>
        <v>#REF!</v>
      </c>
    </row>
    <row r="238" spans="1:11" x14ac:dyDescent="0.2">
      <c r="A238" s="82"/>
      <c r="B238" s="94"/>
      <c r="C238" s="95"/>
      <c r="D238" s="145"/>
      <c r="E238" s="34"/>
      <c r="F238" s="34"/>
      <c r="G238" s="34"/>
      <c r="H238" s="34"/>
      <c r="I238" s="34"/>
      <c r="J238" s="34"/>
      <c r="K238" s="105"/>
    </row>
    <row r="239" spans="1:11" x14ac:dyDescent="0.2">
      <c r="A239" s="99">
        <v>404</v>
      </c>
      <c r="B239" s="100"/>
      <c r="C239" s="101" t="s">
        <v>969</v>
      </c>
      <c r="D239" s="149"/>
      <c r="E239" s="31">
        <f>SUM(E240:E244)</f>
        <v>20562851</v>
      </c>
      <c r="F239" s="31">
        <f>SUM(F240:F243)</f>
        <v>0</v>
      </c>
      <c r="G239" s="31">
        <f>SUM(G240:G243)</f>
        <v>0</v>
      </c>
      <c r="H239" s="31">
        <v>0</v>
      </c>
      <c r="I239" s="31">
        <f>SUM(I240:I243)</f>
        <v>0</v>
      </c>
      <c r="J239" s="31">
        <f>E239+F239+G239+H239-I239</f>
        <v>20562851</v>
      </c>
      <c r="K239" s="103" t="e">
        <f>J239/J$184*100</f>
        <v>#REF!</v>
      </c>
    </row>
    <row r="240" spans="1:11" x14ac:dyDescent="0.2">
      <c r="A240" s="99">
        <v>4040</v>
      </c>
      <c r="B240" s="100"/>
      <c r="C240" s="101" t="s">
        <v>971</v>
      </c>
      <c r="D240" s="149"/>
      <c r="E240" s="31">
        <v>1881130</v>
      </c>
      <c r="F240" s="31">
        <v>0</v>
      </c>
      <c r="G240" s="31">
        <v>0</v>
      </c>
      <c r="H240" s="31">
        <v>0</v>
      </c>
      <c r="I240" s="31"/>
      <c r="J240" s="31">
        <f>E240+F240+G240+H240</f>
        <v>1881130</v>
      </c>
      <c r="K240" s="103"/>
    </row>
    <row r="241" spans="1:11" x14ac:dyDescent="0.2">
      <c r="A241" s="99">
        <v>4041</v>
      </c>
      <c r="B241" s="100"/>
      <c r="C241" s="101" t="s">
        <v>973</v>
      </c>
      <c r="D241" s="149"/>
      <c r="E241" s="31">
        <v>0</v>
      </c>
      <c r="F241" s="31">
        <v>0</v>
      </c>
      <c r="G241" s="31">
        <v>0</v>
      </c>
      <c r="H241" s="31">
        <v>0</v>
      </c>
      <c r="I241" s="31"/>
      <c r="J241" s="31">
        <f>E241+F241+G241+H241</f>
        <v>0</v>
      </c>
      <c r="K241" s="103" t="e">
        <f>J241/J$184*100</f>
        <v>#REF!</v>
      </c>
    </row>
    <row r="242" spans="1:11" x14ac:dyDescent="0.2">
      <c r="A242" s="99">
        <v>4042</v>
      </c>
      <c r="B242" s="100"/>
      <c r="C242" s="101" t="s">
        <v>975</v>
      </c>
      <c r="D242" s="149"/>
      <c r="E242" s="31">
        <v>1331243</v>
      </c>
      <c r="F242" s="31">
        <v>0</v>
      </c>
      <c r="G242" s="31">
        <v>0</v>
      </c>
      <c r="H242" s="31">
        <v>0</v>
      </c>
      <c r="I242" s="31"/>
      <c r="J242" s="31">
        <f>E242+F242+G242+H242</f>
        <v>1331243</v>
      </c>
      <c r="K242" s="103" t="e">
        <f>J242/J$184*100</f>
        <v>#REF!</v>
      </c>
    </row>
    <row r="243" spans="1:11" x14ac:dyDescent="0.2">
      <c r="A243" s="99">
        <v>4043</v>
      </c>
      <c r="B243" s="100"/>
      <c r="C243" s="101" t="s">
        <v>977</v>
      </c>
      <c r="D243" s="149"/>
      <c r="E243" s="31">
        <v>0</v>
      </c>
      <c r="F243" s="31">
        <v>0</v>
      </c>
      <c r="G243" s="31">
        <v>0</v>
      </c>
      <c r="H243" s="31">
        <v>0</v>
      </c>
      <c r="I243" s="31"/>
      <c r="J243" s="31">
        <f>E243+F243+G243+H243</f>
        <v>0</v>
      </c>
      <c r="K243" s="103" t="e">
        <f>J243/J$184*100</f>
        <v>#REF!</v>
      </c>
    </row>
    <row r="244" spans="1:11" x14ac:dyDescent="0.2">
      <c r="A244" s="99">
        <v>4044</v>
      </c>
      <c r="B244" s="100"/>
      <c r="C244" s="101" t="s">
        <v>834</v>
      </c>
      <c r="D244" s="149"/>
      <c r="E244" s="31">
        <v>17350478</v>
      </c>
      <c r="F244" s="31">
        <v>0</v>
      </c>
      <c r="G244" s="31">
        <v>0</v>
      </c>
      <c r="H244" s="31">
        <v>0</v>
      </c>
      <c r="I244" s="31"/>
      <c r="J244" s="31">
        <f>E244+F244+G244+H244</f>
        <v>17350478</v>
      </c>
      <c r="K244" s="103" t="e">
        <f>J244/J$184*100</f>
        <v>#REF!</v>
      </c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409</v>
      </c>
      <c r="B246" s="100"/>
      <c r="C246" s="101" t="s">
        <v>979</v>
      </c>
      <c r="D246" s="149"/>
      <c r="E246" s="31">
        <f>+E247+E248+E249+E250</f>
        <v>34800000</v>
      </c>
      <c r="F246" s="31">
        <v>1875828</v>
      </c>
      <c r="G246" s="31">
        <f>+G247+G248+G249+G250</f>
        <v>0</v>
      </c>
      <c r="H246" s="31">
        <f>+H247+H248+H249+H250</f>
        <v>0</v>
      </c>
      <c r="I246" s="31">
        <f>+I247+I248+I249+I250</f>
        <v>0</v>
      </c>
      <c r="J246" s="31">
        <f>E246+F246+G246+H246-I246</f>
        <v>36675828</v>
      </c>
      <c r="K246" s="103" t="e">
        <f>J246/J$184*100</f>
        <v>#REF!</v>
      </c>
    </row>
    <row r="247" spans="1:11" x14ac:dyDescent="0.2">
      <c r="A247" s="99">
        <v>4090</v>
      </c>
      <c r="B247" s="100"/>
      <c r="C247" s="101" t="s">
        <v>981</v>
      </c>
      <c r="D247" s="149"/>
      <c r="E247" s="31">
        <v>20000000</v>
      </c>
      <c r="F247" s="31"/>
      <c r="G247" s="31">
        <v>0</v>
      </c>
      <c r="H247" s="31">
        <v>0</v>
      </c>
      <c r="I247" s="31"/>
      <c r="J247" s="31">
        <f>E247+F247+G247+H247-I247</f>
        <v>20000000</v>
      </c>
      <c r="K247" s="103" t="e">
        <f>J247/J$184*100</f>
        <v>#REF!</v>
      </c>
    </row>
    <row r="248" spans="1:11" x14ac:dyDescent="0.2">
      <c r="A248" s="99">
        <v>4091</v>
      </c>
      <c r="B248" s="100"/>
      <c r="C248" s="101" t="s">
        <v>983</v>
      </c>
      <c r="D248" s="149"/>
      <c r="E248" s="31">
        <v>7000000</v>
      </c>
      <c r="F248" s="31"/>
      <c r="G248" s="31">
        <v>0</v>
      </c>
      <c r="H248" s="31">
        <v>0</v>
      </c>
      <c r="I248" s="31"/>
      <c r="J248" s="31">
        <f>E248+F248+G248+H248-I248</f>
        <v>7000000</v>
      </c>
      <c r="K248" s="103" t="e">
        <f>J248/J$184*100</f>
        <v>#REF!</v>
      </c>
    </row>
    <row r="249" spans="1:11" x14ac:dyDescent="0.2">
      <c r="A249" s="99">
        <v>4092</v>
      </c>
      <c r="B249" s="100"/>
      <c r="C249" s="101" t="s">
        <v>985</v>
      </c>
      <c r="D249" s="149"/>
      <c r="E249" s="31">
        <v>2400000</v>
      </c>
      <c r="F249" s="31"/>
      <c r="G249" s="31">
        <v>0</v>
      </c>
      <c r="H249" s="31">
        <v>0</v>
      </c>
      <c r="I249" s="31"/>
      <c r="J249" s="31">
        <f>E249+F249+G249+H249-I249</f>
        <v>2400000</v>
      </c>
      <c r="K249" s="103"/>
    </row>
    <row r="250" spans="1:11" x14ac:dyDescent="0.2">
      <c r="A250" s="99">
        <v>4093</v>
      </c>
      <c r="B250" s="100"/>
      <c r="C250" s="101" t="s">
        <v>875</v>
      </c>
      <c r="D250" s="149"/>
      <c r="E250" s="31">
        <v>5400000</v>
      </c>
      <c r="F250" s="31"/>
      <c r="G250" s="31"/>
      <c r="H250" s="31"/>
      <c r="I250" s="31"/>
      <c r="J250" s="31">
        <f>E250+F250+G250+H250-I250</f>
        <v>5400000</v>
      </c>
      <c r="K250" s="103"/>
    </row>
    <row r="251" spans="1:11" x14ac:dyDescent="0.2">
      <c r="A251" s="82"/>
      <c r="B251" s="94"/>
      <c r="C251" s="95"/>
      <c r="D251" s="145"/>
      <c r="E251" s="34"/>
      <c r="F251" s="34"/>
      <c r="G251" s="34"/>
      <c r="H251" s="34"/>
      <c r="I251" s="34"/>
      <c r="J251" s="34"/>
      <c r="K251" s="105"/>
    </row>
    <row r="252" spans="1:11" ht="15.75" x14ac:dyDescent="0.25">
      <c r="A252" s="88">
        <v>41</v>
      </c>
      <c r="B252" s="89"/>
      <c r="C252" s="90" t="s">
        <v>987</v>
      </c>
      <c r="D252" s="146"/>
      <c r="E252" s="32">
        <f>E255+E260+E271+E275+E285</f>
        <v>703741976</v>
      </c>
      <c r="F252" s="32">
        <f>F255+F260+F271+F275+F285</f>
        <v>71351273</v>
      </c>
      <c r="G252" s="32">
        <f>G255+G260+G271+G275+G285</f>
        <v>927490598</v>
      </c>
      <c r="H252" s="32">
        <f>H255+H260+H271+H275+H285</f>
        <v>56760075</v>
      </c>
      <c r="I252" s="32">
        <f>I255+I260+I271+I275+I285</f>
        <v>412181835</v>
      </c>
      <c r="J252" s="32">
        <f>E252+F252+G252+H252-I252</f>
        <v>1347162087</v>
      </c>
      <c r="K252" s="92" t="e">
        <f>J252/J$184*100</f>
        <v>#REF!</v>
      </c>
    </row>
    <row r="253" spans="1:11" x14ac:dyDescent="0.2">
      <c r="A253" s="147"/>
      <c r="B253" s="148"/>
      <c r="C253" s="96" t="s">
        <v>989</v>
      </c>
      <c r="D253" s="145"/>
      <c r="E253" s="34"/>
      <c r="F253" s="34"/>
      <c r="G253" s="34"/>
      <c r="H253" s="34"/>
      <c r="I253" s="34"/>
      <c r="J253" s="34"/>
      <c r="K253" s="105"/>
    </row>
    <row r="254" spans="1:11" x14ac:dyDescent="0.2">
      <c r="A254" s="82"/>
      <c r="B254" s="94"/>
      <c r="C254" s="95"/>
      <c r="D254" s="145"/>
      <c r="E254" s="34"/>
      <c r="F254" s="34"/>
      <c r="G254" s="34"/>
      <c r="H254" s="34"/>
      <c r="I254" s="34"/>
      <c r="J254" s="34"/>
      <c r="K254" s="105"/>
    </row>
    <row r="255" spans="1:11" x14ac:dyDescent="0.2">
      <c r="A255" s="99">
        <v>410</v>
      </c>
      <c r="B255" s="100"/>
      <c r="C255" s="101" t="s">
        <v>990</v>
      </c>
      <c r="D255" s="149"/>
      <c r="E255" s="31">
        <f>E256+E257+E258</f>
        <v>123379681</v>
      </c>
      <c r="F255" s="31">
        <f>F256+F257+F258</f>
        <v>4723431</v>
      </c>
      <c r="G255" s="31">
        <f>G256+G257+G258</f>
        <v>0</v>
      </c>
      <c r="H255" s="31">
        <f>H256+H257+H258</f>
        <v>0</v>
      </c>
      <c r="I255" s="31">
        <f>I256+I257+I258</f>
        <v>0</v>
      </c>
      <c r="J255" s="31">
        <f>E255+F255+G255+H255-I255</f>
        <v>128103112</v>
      </c>
      <c r="K255" s="103" t="e">
        <f>J255/J$184*100</f>
        <v>#REF!</v>
      </c>
    </row>
    <row r="256" spans="1:11" x14ac:dyDescent="0.2">
      <c r="A256" s="99">
        <v>4100</v>
      </c>
      <c r="B256" s="100"/>
      <c r="C256" s="101" t="s">
        <v>992</v>
      </c>
      <c r="D256" s="149"/>
      <c r="E256" s="31">
        <v>27866618</v>
      </c>
      <c r="F256" s="31">
        <v>1091818</v>
      </c>
      <c r="G256" s="31">
        <v>0</v>
      </c>
      <c r="H256" s="31">
        <v>0</v>
      </c>
      <c r="I256" s="31"/>
      <c r="J256" s="31">
        <f>E256+F256+G256+H256</f>
        <v>28958436</v>
      </c>
      <c r="K256" s="103" t="e">
        <f>J256/J$184*100</f>
        <v>#REF!</v>
      </c>
    </row>
    <row r="257" spans="1:11" x14ac:dyDescent="0.2">
      <c r="A257" s="99">
        <v>4101</v>
      </c>
      <c r="B257" s="100"/>
      <c r="C257" s="101" t="s">
        <v>994</v>
      </c>
      <c r="D257" s="149"/>
      <c r="E257" s="31">
        <v>95513063</v>
      </c>
      <c r="F257" s="31"/>
      <c r="G257" s="31">
        <v>0</v>
      </c>
      <c r="H257" s="31">
        <v>0</v>
      </c>
      <c r="I257" s="31"/>
      <c r="J257" s="31">
        <f>E257+F257+G257+H257</f>
        <v>95513063</v>
      </c>
      <c r="K257" s="103" t="e">
        <f>J257/J$184*100</f>
        <v>#REF!</v>
      </c>
    </row>
    <row r="258" spans="1:11" x14ac:dyDescent="0.2">
      <c r="A258" s="99">
        <v>4102</v>
      </c>
      <c r="B258" s="100"/>
      <c r="C258" s="101" t="s">
        <v>996</v>
      </c>
      <c r="D258" s="149"/>
      <c r="E258" s="31">
        <v>0</v>
      </c>
      <c r="F258" s="31">
        <v>3631613</v>
      </c>
      <c r="G258" s="31">
        <v>0</v>
      </c>
      <c r="H258" s="31">
        <v>0</v>
      </c>
      <c r="I258" s="31"/>
      <c r="J258" s="31">
        <f>E258+F258+G258+H258</f>
        <v>3631613</v>
      </c>
      <c r="K258" s="103" t="e">
        <f>J258/J$184*100</f>
        <v>#REF!</v>
      </c>
    </row>
    <row r="259" spans="1:11" x14ac:dyDescent="0.2">
      <c r="A259" s="82"/>
      <c r="B259" s="94"/>
      <c r="C259" s="95"/>
      <c r="D259" s="145"/>
      <c r="E259" s="34"/>
      <c r="F259" s="34"/>
      <c r="G259" s="34"/>
      <c r="H259" s="34"/>
      <c r="I259" s="34"/>
      <c r="J259" s="34"/>
      <c r="K259" s="105"/>
    </row>
    <row r="260" spans="1:11" x14ac:dyDescent="0.2">
      <c r="A260" s="99">
        <v>411</v>
      </c>
      <c r="B260" s="100"/>
      <c r="C260" s="101" t="s">
        <v>998</v>
      </c>
      <c r="D260" s="149"/>
      <c r="E260" s="31">
        <f>SUM(E261:E269)</f>
        <v>231190485</v>
      </c>
      <c r="F260" s="31">
        <f>SUM(F261:F269)</f>
        <v>41927104</v>
      </c>
      <c r="G260" s="31">
        <f>SUM(G261:G269)</f>
        <v>854866021</v>
      </c>
      <c r="H260" s="31">
        <f>SUM(H261:H269)</f>
        <v>51550987</v>
      </c>
      <c r="I260" s="31">
        <f>SUM(I261:I269)</f>
        <v>3551584</v>
      </c>
      <c r="J260" s="31">
        <f>E260+F260+G260+H260-I260</f>
        <v>1175983013</v>
      </c>
      <c r="K260" s="103" t="e">
        <f t="shared" ref="K260:K269" si="18">J260/J$184*100</f>
        <v>#REF!</v>
      </c>
    </row>
    <row r="261" spans="1:11" x14ac:dyDescent="0.2">
      <c r="A261" s="99">
        <v>4110</v>
      </c>
      <c r="B261" s="100"/>
      <c r="C261" s="101" t="s">
        <v>1000</v>
      </c>
      <c r="D261" s="149"/>
      <c r="E261" s="31">
        <v>24191773</v>
      </c>
      <c r="F261" s="31">
        <v>127547</v>
      </c>
      <c r="G261" s="31">
        <v>0</v>
      </c>
      <c r="H261" s="31"/>
      <c r="I261" s="429">
        <f>+F144+G140+H141</f>
        <v>3551584</v>
      </c>
      <c r="J261" s="109">
        <f>E261+F261+G261+H261-I261</f>
        <v>20767736</v>
      </c>
      <c r="K261" s="103" t="e">
        <f t="shared" si="18"/>
        <v>#REF!</v>
      </c>
    </row>
    <row r="262" spans="1:11" x14ac:dyDescent="0.2">
      <c r="A262" s="99">
        <v>4111</v>
      </c>
      <c r="B262" s="100"/>
      <c r="C262" s="101" t="s">
        <v>1002</v>
      </c>
      <c r="D262" s="149"/>
      <c r="E262" s="31">
        <v>110385549</v>
      </c>
      <c r="F262" s="31">
        <v>182799</v>
      </c>
      <c r="G262" s="31">
        <v>0</v>
      </c>
      <c r="H262" s="31"/>
      <c r="I262" s="31"/>
      <c r="J262" s="109">
        <f>E262+F262+G262+H262-I262</f>
        <v>110568348</v>
      </c>
      <c r="K262" s="103" t="e">
        <f t="shared" si="18"/>
        <v>#REF!</v>
      </c>
    </row>
    <row r="263" spans="1:11" x14ac:dyDescent="0.2">
      <c r="A263" s="99">
        <v>4112</v>
      </c>
      <c r="B263" s="100"/>
      <c r="C263" s="101" t="s">
        <v>1004</v>
      </c>
      <c r="D263" s="149"/>
      <c r="E263" s="31">
        <v>39596728</v>
      </c>
      <c r="F263" s="31">
        <v>700461</v>
      </c>
      <c r="G263" s="31">
        <v>42405902</v>
      </c>
      <c r="H263" s="31"/>
      <c r="I263" s="31"/>
      <c r="J263" s="31">
        <f>E263+F263+G263+H263</f>
        <v>82703091</v>
      </c>
      <c r="K263" s="103" t="e">
        <f t="shared" si="18"/>
        <v>#REF!</v>
      </c>
    </row>
    <row r="264" spans="1:11" x14ac:dyDescent="0.2">
      <c r="A264" s="99">
        <v>4113</v>
      </c>
      <c r="B264" s="100"/>
      <c r="C264" s="101" t="s">
        <v>1006</v>
      </c>
      <c r="D264" s="149"/>
      <c r="E264" s="31">
        <v>21514527</v>
      </c>
      <c r="F264" s="31">
        <v>8933</v>
      </c>
      <c r="G264" s="31">
        <v>0</v>
      </c>
      <c r="H264" s="31"/>
      <c r="I264" s="31"/>
      <c r="J264" s="31">
        <f>E264+F264+G264+H264</f>
        <v>21523460</v>
      </c>
      <c r="K264" s="103" t="e">
        <f t="shared" si="18"/>
        <v>#REF!</v>
      </c>
    </row>
    <row r="265" spans="1:11" x14ac:dyDescent="0.2">
      <c r="A265" s="99">
        <v>4114</v>
      </c>
      <c r="B265" s="100"/>
      <c r="C265" s="101" t="s">
        <v>1008</v>
      </c>
      <c r="D265" s="149"/>
      <c r="E265" s="31">
        <v>0</v>
      </c>
      <c r="F265" s="31">
        <v>0</v>
      </c>
      <c r="G265" s="31">
        <v>767825232</v>
      </c>
      <c r="H265" s="31"/>
      <c r="I265" s="31"/>
      <c r="J265" s="31">
        <f>E265+F265+G265+H265</f>
        <v>767825232</v>
      </c>
      <c r="K265" s="103" t="e">
        <f t="shared" si="18"/>
        <v>#REF!</v>
      </c>
    </row>
    <row r="266" spans="1:11" x14ac:dyDescent="0.2">
      <c r="A266" s="99">
        <v>4115</v>
      </c>
      <c r="B266" s="100"/>
      <c r="C266" s="101" t="s">
        <v>1010</v>
      </c>
      <c r="D266" s="149"/>
      <c r="E266" s="31">
        <v>0</v>
      </c>
      <c r="F266" s="31">
        <v>0</v>
      </c>
      <c r="G266" s="31">
        <v>44614484</v>
      </c>
      <c r="H266" s="31"/>
      <c r="I266" s="31"/>
      <c r="J266" s="31">
        <f>E266+F266+G266+H266</f>
        <v>44614484</v>
      </c>
      <c r="K266" s="103" t="e">
        <f t="shared" si="18"/>
        <v>#REF!</v>
      </c>
    </row>
    <row r="267" spans="1:11" x14ac:dyDescent="0.2">
      <c r="A267" s="99">
        <v>4116</v>
      </c>
      <c r="B267" s="100"/>
      <c r="C267" s="101" t="s">
        <v>1012</v>
      </c>
      <c r="D267" s="149"/>
      <c r="E267" s="31">
        <v>0</v>
      </c>
      <c r="F267" s="31">
        <v>0</v>
      </c>
      <c r="G267" s="31">
        <v>0</v>
      </c>
      <c r="H267" s="31">
        <v>48228986</v>
      </c>
      <c r="I267" s="31"/>
      <c r="J267" s="109">
        <f>E267+F267+G267+H267-I267</f>
        <v>48228986</v>
      </c>
      <c r="K267" s="103" t="e">
        <f t="shared" si="18"/>
        <v>#REF!</v>
      </c>
    </row>
    <row r="268" spans="1:11" x14ac:dyDescent="0.2">
      <c r="A268" s="99">
        <v>4117</v>
      </c>
      <c r="B268" s="100"/>
      <c r="C268" s="101" t="s">
        <v>1014</v>
      </c>
      <c r="D268" s="149"/>
      <c r="E268" s="31">
        <v>24295962</v>
      </c>
      <c r="F268" s="31">
        <v>263714</v>
      </c>
      <c r="G268" s="31">
        <v>4668</v>
      </c>
      <c r="H268" s="31">
        <v>0</v>
      </c>
      <c r="I268" s="31"/>
      <c r="J268" s="31">
        <f>E268+F268+G268+H268</f>
        <v>24564344</v>
      </c>
      <c r="K268" s="103" t="e">
        <f t="shared" si="18"/>
        <v>#REF!</v>
      </c>
    </row>
    <row r="269" spans="1:11" x14ac:dyDescent="0.2">
      <c r="A269" s="99">
        <v>4119</v>
      </c>
      <c r="B269" s="100"/>
      <c r="C269" s="101" t="s">
        <v>1016</v>
      </c>
      <c r="D269" s="149"/>
      <c r="E269" s="31">
        <v>11205946</v>
      </c>
      <c r="F269" s="31">
        <v>40643650</v>
      </c>
      <c r="G269" s="31">
        <v>15735</v>
      </c>
      <c r="H269" s="31">
        <v>3322001</v>
      </c>
      <c r="I269" s="31"/>
      <c r="J269" s="31">
        <f>E269+F269+G269+H269-I269</f>
        <v>55187332</v>
      </c>
      <c r="K269" s="103" t="e">
        <f t="shared" si="18"/>
        <v>#REF!</v>
      </c>
    </row>
    <row r="270" spans="1:11" x14ac:dyDescent="0.2">
      <c r="A270" s="82"/>
      <c r="B270" s="94"/>
      <c r="C270" s="95"/>
      <c r="D270" s="145"/>
      <c r="E270" s="34"/>
      <c r="F270" s="34"/>
      <c r="G270" s="34"/>
      <c r="H270" s="34"/>
      <c r="I270" s="34"/>
      <c r="J270" s="34"/>
      <c r="K270" s="105"/>
    </row>
    <row r="271" spans="1:11" x14ac:dyDescent="0.2">
      <c r="A271" s="99">
        <v>412</v>
      </c>
      <c r="B271" s="100"/>
      <c r="C271" s="101" t="s">
        <v>0</v>
      </c>
      <c r="D271" s="149"/>
      <c r="E271" s="31">
        <f>E273</f>
        <v>10947899</v>
      </c>
      <c r="F271" s="31">
        <f>F273</f>
        <v>12511112</v>
      </c>
      <c r="G271" s="31">
        <f>G273</f>
        <v>819346</v>
      </c>
      <c r="H271" s="31">
        <f>H273</f>
        <v>1114345</v>
      </c>
      <c r="I271" s="31">
        <f>I273</f>
        <v>0</v>
      </c>
      <c r="J271" s="31">
        <f>E271+F271+G271+H271-I271</f>
        <v>25392702</v>
      </c>
      <c r="K271" s="103" t="e">
        <f>J271/J$184*100</f>
        <v>#REF!</v>
      </c>
    </row>
    <row r="272" spans="1:11" x14ac:dyDescent="0.2">
      <c r="A272" s="147"/>
      <c r="B272" s="148"/>
      <c r="C272" s="101" t="s">
        <v>2</v>
      </c>
      <c r="D272" s="145"/>
      <c r="E272" s="34"/>
      <c r="F272" s="34"/>
      <c r="G272" s="34"/>
      <c r="H272" s="34"/>
      <c r="I272" s="34"/>
      <c r="J272" s="34"/>
      <c r="K272" s="105"/>
    </row>
    <row r="273" spans="1:13" x14ac:dyDescent="0.2">
      <c r="A273" s="99">
        <v>4120</v>
      </c>
      <c r="B273" s="100"/>
      <c r="C273" s="101" t="s">
        <v>4</v>
      </c>
      <c r="D273" s="149"/>
      <c r="E273" s="31">
        <v>10947899</v>
      </c>
      <c r="F273" s="31">
        <v>12511112</v>
      </c>
      <c r="G273" s="31">
        <v>819346</v>
      </c>
      <c r="H273" s="31">
        <v>1114345</v>
      </c>
      <c r="I273" s="31">
        <v>0</v>
      </c>
      <c r="J273" s="31">
        <f>E273+F273+G273+H273</f>
        <v>25392702</v>
      </c>
      <c r="K273" s="103" t="e">
        <f>J273/J$184*100</f>
        <v>#REF!</v>
      </c>
    </row>
    <row r="274" spans="1:13" x14ac:dyDescent="0.2">
      <c r="A274" s="82"/>
      <c r="B274" s="94"/>
      <c r="C274" s="95"/>
      <c r="D274" s="145"/>
      <c r="E274" s="34"/>
      <c r="F274" s="34"/>
      <c r="G274" s="34"/>
      <c r="H274" s="34"/>
      <c r="I274" s="34"/>
      <c r="J274" s="34"/>
      <c r="K274" s="105"/>
    </row>
    <row r="275" spans="1:13" x14ac:dyDescent="0.2">
      <c r="A275" s="99">
        <v>413</v>
      </c>
      <c r="B275" s="100"/>
      <c r="C275" s="101" t="s">
        <v>6</v>
      </c>
      <c r="D275" s="149"/>
      <c r="E275" s="31">
        <f>+E277+E280+E281+E282</f>
        <v>335230705</v>
      </c>
      <c r="F275" s="31">
        <f>+F277+F280+F281</f>
        <v>12189626</v>
      </c>
      <c r="G275" s="31">
        <f>+G277+G280+G281</f>
        <v>71805231</v>
      </c>
      <c r="H275" s="31">
        <f>+H277+H280+H281+H282</f>
        <v>868334</v>
      </c>
      <c r="I275" s="31">
        <f>+I277+I280+I281+I282</f>
        <v>408630251</v>
      </c>
      <c r="J275" s="31">
        <f>E275+F275+G275+H275-I275</f>
        <v>11463645</v>
      </c>
      <c r="K275" s="103" t="e">
        <f>J275/J$184*100</f>
        <v>#REF!</v>
      </c>
    </row>
    <row r="276" spans="1:13" x14ac:dyDescent="0.2">
      <c r="A276" s="82"/>
      <c r="B276" s="94"/>
      <c r="C276" s="95"/>
      <c r="D276" s="145"/>
      <c r="E276" s="34"/>
      <c r="F276" s="34"/>
      <c r="G276" s="34"/>
      <c r="H276" s="34"/>
      <c r="I276" s="34"/>
      <c r="J276" s="34"/>
      <c r="K276" s="105"/>
    </row>
    <row r="277" spans="1:13" x14ac:dyDescent="0.2">
      <c r="A277" s="106">
        <v>4130</v>
      </c>
      <c r="B277" s="107"/>
      <c r="C277" s="108" t="s">
        <v>8</v>
      </c>
      <c r="D277" s="153"/>
      <c r="E277" s="109">
        <v>51081849</v>
      </c>
      <c r="F277" s="109">
        <v>6119350</v>
      </c>
      <c r="G277" s="109">
        <v>0</v>
      </c>
      <c r="H277" s="109">
        <v>0</v>
      </c>
      <c r="I277" s="429">
        <f>+F134+F135+F278</f>
        <v>54571500</v>
      </c>
      <c r="J277" s="109">
        <f>E277+F277+G277+H277-I277</f>
        <v>2629699</v>
      </c>
      <c r="K277" s="103"/>
    </row>
    <row r="278" spans="1:13" x14ac:dyDescent="0.2">
      <c r="A278" s="106">
        <v>413003</v>
      </c>
      <c r="B278" s="107"/>
      <c r="C278" s="108" t="s">
        <v>930</v>
      </c>
      <c r="D278" s="157"/>
      <c r="E278" s="113"/>
      <c r="F278" s="113">
        <v>2658450</v>
      </c>
      <c r="G278" s="113"/>
      <c r="H278" s="113"/>
      <c r="I278" s="113"/>
      <c r="J278" s="113"/>
      <c r="K278" s="110"/>
    </row>
    <row r="279" spans="1:13" x14ac:dyDescent="0.2">
      <c r="A279" s="114"/>
      <c r="B279" s="115"/>
      <c r="C279" s="154"/>
      <c r="D279" s="157"/>
      <c r="E279" s="113"/>
      <c r="F279" s="113"/>
      <c r="G279" s="113"/>
      <c r="H279" s="113"/>
      <c r="I279" s="113"/>
      <c r="J279" s="113"/>
      <c r="K279" s="110"/>
    </row>
    <row r="280" spans="1:13" x14ac:dyDescent="0.2">
      <c r="A280" s="106">
        <v>4131</v>
      </c>
      <c r="B280" s="107"/>
      <c r="C280" s="108" t="s">
        <v>10</v>
      </c>
      <c r="D280" s="153"/>
      <c r="E280" s="109">
        <v>277977393</v>
      </c>
      <c r="F280" s="109">
        <v>3825077</v>
      </c>
      <c r="G280" s="109">
        <v>71805231</v>
      </c>
      <c r="H280" s="109">
        <v>859979</v>
      </c>
      <c r="I280" s="429">
        <f>G134+G136+G137+G138+G144+H137+H139+H143+H144</f>
        <v>353942481</v>
      </c>
      <c r="J280" s="109">
        <f>E280+F280+G280+H280-I280</f>
        <v>525199</v>
      </c>
      <c r="K280" s="104"/>
      <c r="M280" s="431"/>
    </row>
    <row r="281" spans="1:13" x14ac:dyDescent="0.2">
      <c r="A281" s="106">
        <v>4132</v>
      </c>
      <c r="B281" s="107"/>
      <c r="C281" s="108" t="s">
        <v>15</v>
      </c>
      <c r="D281" s="153"/>
      <c r="E281" s="109">
        <v>6069876</v>
      </c>
      <c r="F281" s="109">
        <v>2245199</v>
      </c>
      <c r="G281" s="109">
        <v>0</v>
      </c>
      <c r="H281" s="109">
        <v>0</v>
      </c>
      <c r="I281" s="429">
        <v>0</v>
      </c>
      <c r="J281" s="109">
        <f>E281+F281+G281+H281-I281</f>
        <v>8315075</v>
      </c>
      <c r="K281" s="103"/>
    </row>
    <row r="282" spans="1:13" x14ac:dyDescent="0.2">
      <c r="A282" s="106">
        <v>4134</v>
      </c>
      <c r="B282" s="107"/>
      <c r="C282" s="108" t="s">
        <v>840</v>
      </c>
      <c r="D282" s="153"/>
      <c r="E282" s="109">
        <v>101587</v>
      </c>
      <c r="F282" s="109">
        <v>0</v>
      </c>
      <c r="G282" s="109">
        <v>0</v>
      </c>
      <c r="H282" s="109">
        <v>8355</v>
      </c>
      <c r="I282" s="428">
        <f>+E131</f>
        <v>116270</v>
      </c>
      <c r="J282" s="109">
        <f>E282+F282+G282+H282-I282</f>
        <v>-6328</v>
      </c>
      <c r="K282" s="103"/>
    </row>
    <row r="283" spans="1:13" x14ac:dyDescent="0.2">
      <c r="A283" s="82"/>
      <c r="B283" s="94"/>
      <c r="C283" s="95"/>
      <c r="D283" s="159"/>
      <c r="E283" s="34"/>
      <c r="F283" s="34"/>
      <c r="G283" s="34"/>
      <c r="H283" s="34"/>
      <c r="I283" s="34"/>
      <c r="J283" s="34"/>
      <c r="K283" s="150"/>
    </row>
    <row r="284" spans="1:13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3" x14ac:dyDescent="0.2">
      <c r="A285" s="99">
        <v>414</v>
      </c>
      <c r="B285" s="100"/>
      <c r="C285" s="101" t="s">
        <v>25</v>
      </c>
      <c r="D285" s="149"/>
      <c r="E285" s="31">
        <f>SUM(E286:E289)</f>
        <v>2993206</v>
      </c>
      <c r="F285" s="31">
        <v>0</v>
      </c>
      <c r="G285" s="31">
        <f>SUM(G286:G289)</f>
        <v>0</v>
      </c>
      <c r="H285" s="31">
        <f>SUM(H286:H289)</f>
        <v>3226409</v>
      </c>
      <c r="I285" s="31">
        <f>SUM(I286:I289)</f>
        <v>0</v>
      </c>
      <c r="J285" s="31">
        <f>E285+F285+G285+H285-I285</f>
        <v>6219615</v>
      </c>
      <c r="K285" s="103" t="e">
        <f>J285/J$184*100</f>
        <v>#REF!</v>
      </c>
    </row>
    <row r="286" spans="1:13" x14ac:dyDescent="0.2">
      <c r="A286" s="99">
        <v>4140</v>
      </c>
      <c r="B286" s="100"/>
      <c r="C286" s="101" t="s">
        <v>27</v>
      </c>
      <c r="D286" s="149"/>
      <c r="E286" s="31">
        <v>182192</v>
      </c>
      <c r="F286" s="31">
        <v>0</v>
      </c>
      <c r="G286" s="31">
        <v>0</v>
      </c>
      <c r="H286" s="31"/>
      <c r="I286" s="31"/>
      <c r="J286" s="31">
        <f>E286+F286+G286+H286-I286</f>
        <v>182192</v>
      </c>
      <c r="K286" s="103" t="e">
        <f>J286/J$184*100</f>
        <v>#REF!</v>
      </c>
    </row>
    <row r="287" spans="1:13" x14ac:dyDescent="0.2">
      <c r="A287" s="99">
        <v>4141</v>
      </c>
      <c r="B287" s="100"/>
      <c r="C287" s="101" t="s">
        <v>29</v>
      </c>
      <c r="D287" s="149"/>
      <c r="E287" s="31">
        <v>546756</v>
      </c>
      <c r="F287" s="31">
        <v>0</v>
      </c>
      <c r="G287" s="31">
        <v>0</v>
      </c>
      <c r="H287" s="31"/>
      <c r="I287" s="31"/>
      <c r="J287" s="31">
        <f>E287+F287+G287+H287-I287</f>
        <v>546756</v>
      </c>
      <c r="K287" s="103" t="e">
        <f>J287/J$184*100</f>
        <v>#REF!</v>
      </c>
    </row>
    <row r="288" spans="1:13" x14ac:dyDescent="0.2">
      <c r="A288" s="99">
        <v>4142</v>
      </c>
      <c r="B288" s="100"/>
      <c r="C288" s="101" t="s">
        <v>31</v>
      </c>
      <c r="D288" s="149"/>
      <c r="E288" s="31">
        <v>305786</v>
      </c>
      <c r="F288" s="31">
        <v>0</v>
      </c>
      <c r="G288" s="31">
        <v>0</v>
      </c>
      <c r="H288" s="31">
        <v>3226409</v>
      </c>
      <c r="I288" s="31"/>
      <c r="J288" s="31">
        <f>E288+F288+G288+H288-I288</f>
        <v>3532195</v>
      </c>
      <c r="K288" s="103" t="e">
        <f>J288/J$184*100</f>
        <v>#REF!</v>
      </c>
    </row>
    <row r="289" spans="1:11" x14ac:dyDescent="0.2">
      <c r="A289" s="99">
        <v>4143</v>
      </c>
      <c r="B289" s="100"/>
      <c r="C289" s="101" t="s">
        <v>33</v>
      </c>
      <c r="D289" s="149"/>
      <c r="E289" s="31">
        <v>1958472</v>
      </c>
      <c r="F289" s="31">
        <v>0</v>
      </c>
      <c r="G289" s="31">
        <v>0</v>
      </c>
      <c r="H289" s="31"/>
      <c r="I289" s="31"/>
      <c r="J289" s="31">
        <f>E289+F289+G289+H289-I289</f>
        <v>1958472</v>
      </c>
      <c r="K289" s="103" t="e">
        <f>J289/J$184*100</f>
        <v>#REF!</v>
      </c>
    </row>
    <row r="290" spans="1:11" x14ac:dyDescent="0.2">
      <c r="A290" s="82"/>
      <c r="B290" s="94"/>
      <c r="C290" s="95"/>
      <c r="D290" s="145"/>
      <c r="E290" s="34"/>
      <c r="F290" s="34"/>
      <c r="G290" s="34"/>
      <c r="H290" s="34"/>
      <c r="I290" s="34"/>
      <c r="J290" s="34"/>
      <c r="K290" s="105"/>
    </row>
    <row r="291" spans="1:11" ht="15.75" x14ac:dyDescent="0.25">
      <c r="A291" s="88">
        <v>42</v>
      </c>
      <c r="B291" s="89"/>
      <c r="C291" s="90" t="s">
        <v>35</v>
      </c>
      <c r="D291" s="146"/>
      <c r="E291" s="32">
        <f>E293</f>
        <v>90065310</v>
      </c>
      <c r="F291" s="32">
        <f>F293</f>
        <v>99556692</v>
      </c>
      <c r="G291" s="32">
        <f>G293</f>
        <v>400000</v>
      </c>
      <c r="H291" s="32">
        <f>H293</f>
        <v>1127018</v>
      </c>
      <c r="I291" s="32">
        <f>I293</f>
        <v>0</v>
      </c>
      <c r="J291" s="32">
        <f>E291+F291+G291+H291-I291</f>
        <v>191149020</v>
      </c>
      <c r="K291" s="92" t="e">
        <f>J291/J$184*100</f>
        <v>#REF!</v>
      </c>
    </row>
    <row r="292" spans="1:11" x14ac:dyDescent="0.2">
      <c r="A292" s="82"/>
      <c r="B292" s="94"/>
      <c r="C292" s="95"/>
      <c r="D292" s="145"/>
      <c r="E292" s="86"/>
      <c r="F292" s="86"/>
      <c r="G292" s="86"/>
      <c r="H292" s="86"/>
      <c r="I292" s="86"/>
      <c r="J292" s="86"/>
      <c r="K292" s="87"/>
    </row>
    <row r="293" spans="1:11" x14ac:dyDescent="0.2">
      <c r="A293" s="99">
        <v>420</v>
      </c>
      <c r="B293" s="100"/>
      <c r="C293" s="101" t="s">
        <v>37</v>
      </c>
      <c r="D293" s="149"/>
      <c r="E293" s="31">
        <f>SUM(E294:E303)</f>
        <v>90065310</v>
      </c>
      <c r="F293" s="31">
        <f>SUM(F294:F303)</f>
        <v>99556692</v>
      </c>
      <c r="G293" s="31">
        <f>SUM(G294:G303)</f>
        <v>400000</v>
      </c>
      <c r="H293" s="31">
        <v>1127018</v>
      </c>
      <c r="I293" s="31">
        <f>SUM(I294:I303)</f>
        <v>0</v>
      </c>
      <c r="J293" s="31">
        <f t="shared" ref="J293:J303" si="19">E293+F293+G293+H293-I293</f>
        <v>191149020</v>
      </c>
      <c r="K293" s="103" t="e">
        <f t="shared" ref="K293:K303" si="20">J293/J$184*100</f>
        <v>#REF!</v>
      </c>
    </row>
    <row r="294" spans="1:11" x14ac:dyDescent="0.2">
      <c r="A294" s="99">
        <v>4200</v>
      </c>
      <c r="B294" s="100"/>
      <c r="C294" s="101" t="s">
        <v>39</v>
      </c>
      <c r="D294" s="149"/>
      <c r="E294" s="31">
        <v>3097540</v>
      </c>
      <c r="F294" s="31">
        <v>3649305</v>
      </c>
      <c r="G294" s="31">
        <v>0</v>
      </c>
      <c r="H294" s="31">
        <v>0</v>
      </c>
      <c r="I294" s="31"/>
      <c r="J294" s="31">
        <f t="shared" si="19"/>
        <v>6746845</v>
      </c>
      <c r="K294" s="103" t="e">
        <f t="shared" si="20"/>
        <v>#REF!</v>
      </c>
    </row>
    <row r="295" spans="1:11" x14ac:dyDescent="0.2">
      <c r="A295" s="99">
        <v>4201</v>
      </c>
      <c r="B295" s="100"/>
      <c r="C295" s="101" t="s">
        <v>41</v>
      </c>
      <c r="D295" s="149"/>
      <c r="E295" s="31">
        <v>2709458</v>
      </c>
      <c r="F295" s="31">
        <v>389938</v>
      </c>
      <c r="G295" s="31">
        <v>0</v>
      </c>
      <c r="H295" s="31">
        <v>0</v>
      </c>
      <c r="I295" s="31"/>
      <c r="J295" s="31">
        <f t="shared" si="19"/>
        <v>3099396</v>
      </c>
      <c r="K295" s="103" t="e">
        <f t="shared" si="20"/>
        <v>#REF!</v>
      </c>
    </row>
    <row r="296" spans="1:11" x14ac:dyDescent="0.2">
      <c r="A296" s="99">
        <v>4202</v>
      </c>
      <c r="B296" s="100"/>
      <c r="C296" s="101" t="s">
        <v>43</v>
      </c>
      <c r="D296" s="149"/>
      <c r="E296" s="31">
        <v>22708318</v>
      </c>
      <c r="F296" s="31">
        <v>4079766</v>
      </c>
      <c r="G296" s="31">
        <v>400000</v>
      </c>
      <c r="H296" s="31">
        <v>0</v>
      </c>
      <c r="I296" s="31"/>
      <c r="J296" s="31">
        <f t="shared" si="19"/>
        <v>27188084</v>
      </c>
      <c r="K296" s="103" t="e">
        <f t="shared" si="20"/>
        <v>#REF!</v>
      </c>
    </row>
    <row r="297" spans="1:11" x14ac:dyDescent="0.2">
      <c r="A297" s="99">
        <v>4203</v>
      </c>
      <c r="B297" s="100"/>
      <c r="C297" s="101" t="s">
        <v>45</v>
      </c>
      <c r="D297" s="149"/>
      <c r="E297" s="31">
        <v>49499</v>
      </c>
      <c r="F297" s="31">
        <v>473803</v>
      </c>
      <c r="G297" s="31">
        <v>0</v>
      </c>
      <c r="H297" s="31">
        <v>0</v>
      </c>
      <c r="I297" s="31"/>
      <c r="J297" s="31">
        <f t="shared" si="19"/>
        <v>523302</v>
      </c>
      <c r="K297" s="103" t="e">
        <f t="shared" si="20"/>
        <v>#REF!</v>
      </c>
    </row>
    <row r="298" spans="1:11" x14ac:dyDescent="0.2">
      <c r="A298" s="99">
        <v>4204</v>
      </c>
      <c r="B298" s="100"/>
      <c r="C298" s="101" t="s">
        <v>47</v>
      </c>
      <c r="D298" s="149"/>
      <c r="E298" s="31">
        <v>37389492</v>
      </c>
      <c r="F298" s="31">
        <v>59610958</v>
      </c>
      <c r="G298" s="31">
        <v>0</v>
      </c>
      <c r="H298" s="31">
        <v>0</v>
      </c>
      <c r="I298" s="31"/>
      <c r="J298" s="31">
        <f t="shared" si="19"/>
        <v>97000450</v>
      </c>
      <c r="K298" s="103" t="e">
        <f t="shared" si="20"/>
        <v>#REF!</v>
      </c>
    </row>
    <row r="299" spans="1:11" x14ac:dyDescent="0.2">
      <c r="A299" s="99">
        <v>4205</v>
      </c>
      <c r="B299" s="100"/>
      <c r="C299" s="101" t="s">
        <v>49</v>
      </c>
      <c r="D299" s="149"/>
      <c r="E299" s="31">
        <v>13313409</v>
      </c>
      <c r="F299" s="31">
        <v>15964683</v>
      </c>
      <c r="G299" s="31">
        <v>0</v>
      </c>
      <c r="H299" s="31"/>
      <c r="I299" s="31"/>
      <c r="J299" s="31">
        <f t="shared" si="19"/>
        <v>29278092</v>
      </c>
      <c r="K299" s="103" t="e">
        <f t="shared" si="20"/>
        <v>#REF!</v>
      </c>
    </row>
    <row r="300" spans="1:11" x14ac:dyDescent="0.2">
      <c r="A300" s="99">
        <v>4206</v>
      </c>
      <c r="B300" s="100"/>
      <c r="C300" s="101" t="s">
        <v>51</v>
      </c>
      <c r="D300" s="149"/>
      <c r="E300" s="31">
        <v>2277915</v>
      </c>
      <c r="F300" s="31">
        <v>7262061</v>
      </c>
      <c r="G300" s="31">
        <v>0</v>
      </c>
      <c r="H300" s="31">
        <v>0</v>
      </c>
      <c r="I300" s="31"/>
      <c r="J300" s="31">
        <f t="shared" si="19"/>
        <v>9539976</v>
      </c>
      <c r="K300" s="103" t="e">
        <f t="shared" si="20"/>
        <v>#REF!</v>
      </c>
    </row>
    <row r="301" spans="1:11" x14ac:dyDescent="0.2">
      <c r="A301" s="99">
        <v>4207</v>
      </c>
      <c r="B301" s="100"/>
      <c r="C301" s="101" t="s">
        <v>53</v>
      </c>
      <c r="D301" s="149"/>
      <c r="E301" s="31">
        <v>379665</v>
      </c>
      <c r="F301" s="31">
        <v>42927</v>
      </c>
      <c r="G301" s="31">
        <v>0</v>
      </c>
      <c r="H301" s="31">
        <v>0</v>
      </c>
      <c r="I301" s="31"/>
      <c r="J301" s="31">
        <f t="shared" si="19"/>
        <v>422592</v>
      </c>
      <c r="K301" s="103" t="e">
        <f t="shared" si="20"/>
        <v>#REF!</v>
      </c>
    </row>
    <row r="302" spans="1:11" x14ac:dyDescent="0.2">
      <c r="A302" s="99">
        <v>4208</v>
      </c>
      <c r="B302" s="100"/>
      <c r="C302" s="101" t="s">
        <v>55</v>
      </c>
      <c r="D302" s="149"/>
      <c r="E302" s="31">
        <v>8118941</v>
      </c>
      <c r="F302" s="31">
        <v>8083251</v>
      </c>
      <c r="G302" s="31">
        <v>0</v>
      </c>
      <c r="H302" s="31">
        <v>0</v>
      </c>
      <c r="I302" s="31"/>
      <c r="J302" s="31">
        <f t="shared" si="19"/>
        <v>16202192</v>
      </c>
      <c r="K302" s="103" t="e">
        <f t="shared" si="20"/>
        <v>#REF!</v>
      </c>
    </row>
    <row r="303" spans="1:11" x14ac:dyDescent="0.2">
      <c r="A303" s="99">
        <v>4209</v>
      </c>
      <c r="B303" s="100"/>
      <c r="C303" s="101" t="s">
        <v>57</v>
      </c>
      <c r="D303" s="149"/>
      <c r="E303" s="31">
        <v>21073</v>
      </c>
      <c r="F303" s="31">
        <v>0</v>
      </c>
      <c r="G303" s="31">
        <v>0</v>
      </c>
      <c r="H303" s="31">
        <v>0</v>
      </c>
      <c r="I303" s="31"/>
      <c r="J303" s="31">
        <f t="shared" si="19"/>
        <v>21073</v>
      </c>
      <c r="K303" s="103" t="e">
        <f t="shared" si="20"/>
        <v>#REF!</v>
      </c>
    </row>
    <row r="304" spans="1:11" x14ac:dyDescent="0.2">
      <c r="A304" s="82"/>
      <c r="B304" s="94"/>
      <c r="C304" s="95"/>
      <c r="D304" s="145"/>
      <c r="E304" s="34"/>
      <c r="F304" s="34"/>
      <c r="G304" s="34"/>
      <c r="H304" s="34"/>
      <c r="I304" s="34"/>
      <c r="J304" s="34"/>
      <c r="K304" s="105"/>
    </row>
    <row r="305" spans="1:11" ht="15.75" x14ac:dyDescent="0.25">
      <c r="A305" s="88">
        <v>43</v>
      </c>
      <c r="B305" s="89"/>
      <c r="C305" s="90" t="s">
        <v>59</v>
      </c>
      <c r="D305" s="146"/>
      <c r="E305" s="32">
        <f>E307</f>
        <v>93768604</v>
      </c>
      <c r="F305" s="32">
        <f>F307</f>
        <v>39500773</v>
      </c>
      <c r="G305" s="32">
        <f>G307</f>
        <v>0</v>
      </c>
      <c r="H305" s="32">
        <f>H307</f>
        <v>0</v>
      </c>
      <c r="I305" s="32">
        <f>I307</f>
        <v>18030793</v>
      </c>
      <c r="J305" s="32">
        <f>E305+F305+G305+H305-I305</f>
        <v>115238584</v>
      </c>
      <c r="K305" s="92" t="e">
        <f>J305/J$184*100</f>
        <v>#REF!</v>
      </c>
    </row>
    <row r="306" spans="1:11" x14ac:dyDescent="0.2">
      <c r="A306" s="82"/>
      <c r="B306" s="94"/>
      <c r="C306" s="95"/>
      <c r="D306" s="145"/>
      <c r="E306" s="86"/>
      <c r="F306" s="86"/>
      <c r="G306" s="86"/>
      <c r="H306" s="86"/>
      <c r="I306" s="86"/>
      <c r="J306" s="86"/>
      <c r="K306" s="87"/>
    </row>
    <row r="307" spans="1:11" x14ac:dyDescent="0.2">
      <c r="A307" s="99">
        <v>430</v>
      </c>
      <c r="B307" s="100"/>
      <c r="C307" s="101" t="s">
        <v>61</v>
      </c>
      <c r="D307" s="149"/>
      <c r="E307" s="31">
        <f>SUM(E309:E317)</f>
        <v>93768604</v>
      </c>
      <c r="F307" s="31">
        <f>SUM(F309:F317)</f>
        <v>39500773</v>
      </c>
      <c r="G307" s="31">
        <v>0</v>
      </c>
      <c r="H307" s="31">
        <f>SUM(H309:H317)</f>
        <v>0</v>
      </c>
      <c r="I307" s="31">
        <f>SUM(I309:I317)</f>
        <v>18030793</v>
      </c>
      <c r="J307" s="31">
        <f>E307+F307+G307+H307-I307</f>
        <v>115238584</v>
      </c>
      <c r="K307" s="103" t="e">
        <f>J307/J$184*100</f>
        <v>#REF!</v>
      </c>
    </row>
    <row r="308" spans="1:11" x14ac:dyDescent="0.2">
      <c r="A308" s="82"/>
      <c r="B308" s="94"/>
      <c r="C308" s="95"/>
      <c r="D308" s="145"/>
      <c r="E308" s="34"/>
      <c r="F308" s="34"/>
      <c r="G308" s="34"/>
      <c r="H308" s="34"/>
      <c r="I308" s="34"/>
      <c r="J308" s="34"/>
      <c r="K308" s="105"/>
    </row>
    <row r="309" spans="1:11" x14ac:dyDescent="0.2">
      <c r="A309" s="106">
        <v>4300</v>
      </c>
      <c r="B309" s="107"/>
      <c r="C309" s="108" t="s">
        <v>62</v>
      </c>
      <c r="D309" s="153"/>
      <c r="E309" s="109">
        <v>18291662</v>
      </c>
      <c r="F309" s="109">
        <v>2590997</v>
      </c>
      <c r="G309" s="109">
        <v>0</v>
      </c>
      <c r="H309" s="109">
        <v>0</v>
      </c>
      <c r="I309" s="429">
        <f>F136+F143-F278</f>
        <v>18030793</v>
      </c>
      <c r="J309" s="109">
        <f>E309+F309+G309+H309-I309</f>
        <v>2851866</v>
      </c>
      <c r="K309" s="103" t="e">
        <f>J309/J$184*100</f>
        <v>#REF!</v>
      </c>
    </row>
    <row r="310" spans="1:11" x14ac:dyDescent="0.2">
      <c r="A310" s="99">
        <v>4301</v>
      </c>
      <c r="B310" s="100"/>
      <c r="C310" s="101" t="s">
        <v>65</v>
      </c>
      <c r="D310" s="149"/>
      <c r="E310" s="31">
        <v>1121737</v>
      </c>
      <c r="F310" s="31">
        <v>3099210</v>
      </c>
      <c r="G310" s="31">
        <v>0</v>
      </c>
      <c r="H310" s="31">
        <v>0</v>
      </c>
      <c r="I310" s="31"/>
      <c r="J310" s="31">
        <f t="shared" ref="J310:J317" si="21">E310+F310+G310+H310</f>
        <v>4220947</v>
      </c>
      <c r="K310" s="103" t="e">
        <f t="shared" ref="K310:K321" si="22">J310/J$184*100</f>
        <v>#REF!</v>
      </c>
    </row>
    <row r="311" spans="1:11" x14ac:dyDescent="0.2">
      <c r="A311" s="99">
        <v>4302</v>
      </c>
      <c r="B311" s="100"/>
      <c r="C311" s="101" t="s">
        <v>67</v>
      </c>
      <c r="D311" s="149"/>
      <c r="E311" s="31">
        <v>2953520</v>
      </c>
      <c r="F311" s="31">
        <v>2002370</v>
      </c>
      <c r="G311" s="31">
        <v>0</v>
      </c>
      <c r="H311" s="31">
        <v>0</v>
      </c>
      <c r="I311" s="31"/>
      <c r="J311" s="31">
        <f t="shared" si="21"/>
        <v>4955890</v>
      </c>
      <c r="K311" s="103" t="e">
        <f t="shared" si="22"/>
        <v>#REF!</v>
      </c>
    </row>
    <row r="312" spans="1:11" x14ac:dyDescent="0.2">
      <c r="A312" s="99">
        <v>4303</v>
      </c>
      <c r="B312" s="100"/>
      <c r="C312" s="101" t="s">
        <v>69</v>
      </c>
      <c r="D312" s="149"/>
      <c r="E312" s="31">
        <v>42225690</v>
      </c>
      <c r="F312" s="31">
        <v>15221763</v>
      </c>
      <c r="G312" s="31">
        <v>0</v>
      </c>
      <c r="H312" s="31">
        <v>0</v>
      </c>
      <c r="I312" s="31"/>
      <c r="J312" s="31">
        <f t="shared" si="21"/>
        <v>57447453</v>
      </c>
      <c r="K312" s="103" t="e">
        <f t="shared" si="22"/>
        <v>#REF!</v>
      </c>
    </row>
    <row r="313" spans="1:11" x14ac:dyDescent="0.2">
      <c r="A313" s="99">
        <v>4304</v>
      </c>
      <c r="B313" s="100"/>
      <c r="C313" s="101" t="s">
        <v>71</v>
      </c>
      <c r="D313" s="149"/>
      <c r="E313" s="31">
        <v>0</v>
      </c>
      <c r="F313" s="31">
        <v>8988</v>
      </c>
      <c r="G313" s="31">
        <v>0</v>
      </c>
      <c r="H313" s="31">
        <v>0</v>
      </c>
      <c r="I313" s="31"/>
      <c r="J313" s="31">
        <f t="shared" si="21"/>
        <v>8988</v>
      </c>
      <c r="K313" s="103" t="e">
        <f t="shared" si="22"/>
        <v>#REF!</v>
      </c>
    </row>
    <row r="314" spans="1:11" x14ac:dyDescent="0.2">
      <c r="A314" s="99">
        <v>4305</v>
      </c>
      <c r="B314" s="100"/>
      <c r="C314" s="101" t="s">
        <v>73</v>
      </c>
      <c r="D314" s="149"/>
      <c r="E314" s="31">
        <v>14498318</v>
      </c>
      <c r="F314" s="31">
        <v>1184201</v>
      </c>
      <c r="G314" s="31">
        <v>0</v>
      </c>
      <c r="H314" s="31">
        <v>0</v>
      </c>
      <c r="I314" s="31"/>
      <c r="J314" s="31">
        <f t="shared" si="21"/>
        <v>15682519</v>
      </c>
      <c r="K314" s="103" t="e">
        <f t="shared" si="22"/>
        <v>#REF!</v>
      </c>
    </row>
    <row r="315" spans="1:11" x14ac:dyDescent="0.2">
      <c r="A315" s="99">
        <v>4306</v>
      </c>
      <c r="B315" s="100"/>
      <c r="C315" s="101" t="s">
        <v>75</v>
      </c>
      <c r="D315" s="149"/>
      <c r="E315" s="31">
        <v>6689006</v>
      </c>
      <c r="F315" s="31">
        <v>201891</v>
      </c>
      <c r="G315" s="31">
        <v>0</v>
      </c>
      <c r="H315" s="31">
        <v>0</v>
      </c>
      <c r="I315" s="31"/>
      <c r="J315" s="31">
        <f t="shared" si="21"/>
        <v>6890897</v>
      </c>
      <c r="K315" s="103" t="e">
        <f t="shared" si="22"/>
        <v>#REF!</v>
      </c>
    </row>
    <row r="316" spans="1:11" x14ac:dyDescent="0.2">
      <c r="A316" s="99">
        <v>4307</v>
      </c>
      <c r="B316" s="100"/>
      <c r="C316" s="101" t="s">
        <v>77</v>
      </c>
      <c r="D316" s="149"/>
      <c r="E316" s="31">
        <v>7958498</v>
      </c>
      <c r="F316" s="31">
        <v>15191353</v>
      </c>
      <c r="G316" s="31">
        <v>0</v>
      </c>
      <c r="H316" s="31">
        <v>0</v>
      </c>
      <c r="I316" s="31"/>
      <c r="J316" s="31">
        <f t="shared" si="21"/>
        <v>23149851</v>
      </c>
      <c r="K316" s="103" t="e">
        <f t="shared" si="22"/>
        <v>#REF!</v>
      </c>
    </row>
    <row r="317" spans="1:11" x14ac:dyDescent="0.2">
      <c r="A317" s="99">
        <v>4308</v>
      </c>
      <c r="B317" s="100"/>
      <c r="C317" s="101" t="s">
        <v>79</v>
      </c>
      <c r="D317" s="149"/>
      <c r="E317" s="31">
        <v>30173</v>
      </c>
      <c r="F317" s="31">
        <v>0</v>
      </c>
      <c r="G317" s="31">
        <v>0</v>
      </c>
      <c r="H317" s="31">
        <v>0</v>
      </c>
      <c r="I317" s="31"/>
      <c r="J317" s="31">
        <f t="shared" si="21"/>
        <v>30173</v>
      </c>
      <c r="K317" s="103" t="e">
        <f t="shared" si="22"/>
        <v>#REF!</v>
      </c>
    </row>
    <row r="318" spans="1:11" x14ac:dyDescent="0.2">
      <c r="A318" s="204"/>
      <c r="B318" s="205"/>
      <c r="C318" s="206"/>
      <c r="D318" s="424"/>
      <c r="E318" s="383"/>
      <c r="F318" s="383"/>
      <c r="G318" s="383"/>
      <c r="H318" s="383"/>
      <c r="I318" s="383"/>
      <c r="J318" s="383"/>
      <c r="K318" s="425"/>
    </row>
    <row r="319" spans="1:11" ht="15.75" x14ac:dyDescent="0.25">
      <c r="A319" s="88">
        <v>45</v>
      </c>
      <c r="B319" s="89"/>
      <c r="C319" s="90" t="s">
        <v>913</v>
      </c>
      <c r="D319" s="146"/>
      <c r="E319" s="32">
        <f>+E321</f>
        <v>85144300</v>
      </c>
      <c r="F319" s="32">
        <f>+F321</f>
        <v>0</v>
      </c>
      <c r="G319" s="32">
        <f>+G321</f>
        <v>0</v>
      </c>
      <c r="H319" s="32">
        <f>+H321</f>
        <v>0</v>
      </c>
      <c r="I319" s="32">
        <f>+I321</f>
        <v>0</v>
      </c>
      <c r="J319" s="32">
        <f>+E319+F319+G319+H319-I319</f>
        <v>85144300</v>
      </c>
      <c r="K319" s="92" t="e">
        <f t="shared" si="22"/>
        <v>#REF!</v>
      </c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</v>
      </c>
      <c r="B321" s="205"/>
      <c r="C321" s="206" t="s">
        <v>914</v>
      </c>
      <c r="D321" s="424"/>
      <c r="E321" s="383">
        <f>+E322+E327+E330+E333</f>
        <v>85144300</v>
      </c>
      <c r="F321" s="383">
        <f>+F322+F327+F330+F333</f>
        <v>0</v>
      </c>
      <c r="G321" s="383">
        <f>+G322+G327+G330+G333</f>
        <v>0</v>
      </c>
      <c r="H321" s="383">
        <f>+H322+H327+H330+H333</f>
        <v>0</v>
      </c>
      <c r="I321" s="383">
        <f>+I322+I327+I330+I333</f>
        <v>0</v>
      </c>
      <c r="J321" s="383">
        <f>+E321+F321+G321+H321-I321</f>
        <v>85144300</v>
      </c>
      <c r="K321" s="103" t="e">
        <f t="shared" si="22"/>
        <v>#REF!</v>
      </c>
    </row>
    <row r="322" spans="1:11" x14ac:dyDescent="0.2">
      <c r="A322" s="204">
        <v>4500</v>
      </c>
      <c r="B322" s="205"/>
      <c r="C322" s="206" t="s">
        <v>915</v>
      </c>
      <c r="D322" s="424"/>
      <c r="E322" s="383">
        <f>+E323+E324+E325</f>
        <v>13284800</v>
      </c>
      <c r="F322" s="383">
        <f>+F323+F324+F325</f>
        <v>0</v>
      </c>
      <c r="G322" s="383">
        <f>+G323+G324+G325</f>
        <v>0</v>
      </c>
      <c r="H322" s="383">
        <f>+H323+H324+H325</f>
        <v>0</v>
      </c>
      <c r="I322" s="383">
        <f>+I323+I324+I325</f>
        <v>0</v>
      </c>
      <c r="J322" s="383">
        <f>+E322+F322+G322+H322-I322</f>
        <v>13284800</v>
      </c>
      <c r="K322" s="425"/>
    </row>
    <row r="323" spans="1:11" x14ac:dyDescent="0.2">
      <c r="A323" s="204">
        <v>450000</v>
      </c>
      <c r="B323" s="205"/>
      <c r="C323" s="206" t="s">
        <v>916</v>
      </c>
      <c r="D323" s="424"/>
      <c r="E323" s="383">
        <v>13284800</v>
      </c>
      <c r="F323" s="383"/>
      <c r="G323" s="383"/>
      <c r="H323" s="383"/>
      <c r="I323" s="383"/>
      <c r="J323" s="383">
        <f>+E323+F323+G323+H323-I323</f>
        <v>13284800</v>
      </c>
      <c r="K323" s="425"/>
    </row>
    <row r="324" spans="1:11" x14ac:dyDescent="0.2">
      <c r="A324" s="204">
        <v>450001</v>
      </c>
      <c r="B324" s="205"/>
      <c r="C324" s="206" t="s">
        <v>917</v>
      </c>
      <c r="D324" s="424"/>
      <c r="E324" s="383">
        <v>0</v>
      </c>
      <c r="F324" s="383"/>
      <c r="G324" s="383"/>
      <c r="H324" s="383"/>
      <c r="I324" s="383"/>
      <c r="J324" s="383">
        <f>+E324+F324+G324+H324-I324</f>
        <v>0</v>
      </c>
      <c r="K324" s="425"/>
    </row>
    <row r="325" spans="1:11" x14ac:dyDescent="0.2">
      <c r="A325" s="204">
        <v>450002</v>
      </c>
      <c r="B325" s="205"/>
      <c r="C325" s="206" t="s">
        <v>918</v>
      </c>
      <c r="D325" s="424"/>
      <c r="E325" s="383">
        <v>0</v>
      </c>
      <c r="F325" s="383"/>
      <c r="G325" s="383"/>
      <c r="H325" s="383"/>
      <c r="I325" s="383"/>
      <c r="J325" s="383">
        <f>+E325+F325+G325+H325-I325</f>
        <v>0</v>
      </c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4501</v>
      </c>
      <c r="B327" s="205"/>
      <c r="C327" s="206" t="s">
        <v>919</v>
      </c>
      <c r="D327" s="424"/>
      <c r="E327" s="383">
        <f>+E328</f>
        <v>9688900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9688900</v>
      </c>
      <c r="K327" s="103" t="e">
        <f>J327/J$184*100</f>
        <v>#REF!</v>
      </c>
    </row>
    <row r="328" spans="1:11" x14ac:dyDescent="0.2">
      <c r="A328" s="204">
        <v>450100</v>
      </c>
      <c r="B328" s="205"/>
      <c r="C328" s="206" t="s">
        <v>920</v>
      </c>
      <c r="D328" s="424"/>
      <c r="E328" s="383">
        <v>9688900</v>
      </c>
      <c r="F328" s="383"/>
      <c r="G328" s="383"/>
      <c r="H328" s="383"/>
      <c r="I328" s="383"/>
      <c r="J328" s="383">
        <f>+E328+F328+G328+H328-I328</f>
        <v>9688900</v>
      </c>
      <c r="K328" s="425"/>
    </row>
    <row r="329" spans="1:11" x14ac:dyDescent="0.2">
      <c r="A329" s="204"/>
      <c r="B329" s="205"/>
      <c r="C329" s="206"/>
      <c r="D329" s="424"/>
      <c r="E329" s="383"/>
      <c r="F329" s="383"/>
      <c r="G329" s="383"/>
      <c r="H329" s="383"/>
      <c r="I329" s="383"/>
      <c r="J329" s="383"/>
      <c r="K329" s="425"/>
    </row>
    <row r="330" spans="1:11" x14ac:dyDescent="0.2">
      <c r="A330" s="204">
        <v>4502</v>
      </c>
      <c r="B330" s="205"/>
      <c r="C330" s="206" t="s">
        <v>921</v>
      </c>
      <c r="D330" s="424"/>
      <c r="E330" s="383">
        <f>+E331</f>
        <v>54634800</v>
      </c>
      <c r="F330" s="383">
        <f>+F331</f>
        <v>0</v>
      </c>
      <c r="G330" s="383">
        <f>+G331</f>
        <v>0</v>
      </c>
      <c r="H330" s="383">
        <f>+H331</f>
        <v>0</v>
      </c>
      <c r="I330" s="383">
        <f>+I331</f>
        <v>0</v>
      </c>
      <c r="J330" s="383">
        <f>+E330+F330+G330+H330-I330</f>
        <v>54634800</v>
      </c>
      <c r="K330" s="103" t="e">
        <f>J330/J$184*100</f>
        <v>#REF!</v>
      </c>
    </row>
    <row r="331" spans="1:11" x14ac:dyDescent="0.2">
      <c r="A331" s="204">
        <v>450200</v>
      </c>
      <c r="B331" s="205"/>
      <c r="C331" s="206" t="s">
        <v>922</v>
      </c>
      <c r="D331" s="424"/>
      <c r="E331" s="383">
        <v>54634800</v>
      </c>
      <c r="F331" s="383"/>
      <c r="G331" s="383"/>
      <c r="H331" s="383"/>
      <c r="I331" s="383"/>
      <c r="J331" s="383">
        <f>+E331+F331+G331+H331-I331</f>
        <v>54634800</v>
      </c>
      <c r="K331" s="425"/>
    </row>
    <row r="332" spans="1:11" x14ac:dyDescent="0.2">
      <c r="A332" s="204"/>
      <c r="B332" s="205"/>
      <c r="C332" s="206"/>
      <c r="D332" s="424"/>
      <c r="E332" s="383"/>
      <c r="F332" s="383"/>
      <c r="G332" s="383"/>
      <c r="H332" s="383"/>
      <c r="I332" s="383"/>
      <c r="J332" s="383"/>
      <c r="K332" s="425"/>
    </row>
    <row r="333" spans="1:11" x14ac:dyDescent="0.2">
      <c r="A333" s="204">
        <v>4503</v>
      </c>
      <c r="B333" s="205"/>
      <c r="C333" s="206" t="s">
        <v>923</v>
      </c>
      <c r="D333" s="424"/>
      <c r="E333" s="383">
        <f>+E334</f>
        <v>7535800</v>
      </c>
      <c r="F333" s="383">
        <f>+F334</f>
        <v>0</v>
      </c>
      <c r="G333" s="383">
        <f>+G334</f>
        <v>0</v>
      </c>
      <c r="H333" s="383">
        <f>+H334</f>
        <v>0</v>
      </c>
      <c r="I333" s="383">
        <f>+I334</f>
        <v>0</v>
      </c>
      <c r="J333" s="383">
        <f>+E333+F333+G333+H333-I333</f>
        <v>7535800</v>
      </c>
      <c r="K333" s="103" t="e">
        <f>J333/J$184*100</f>
        <v>#REF!</v>
      </c>
    </row>
    <row r="334" spans="1:11" x14ac:dyDescent="0.2">
      <c r="A334" s="204">
        <v>450300</v>
      </c>
      <c r="B334" s="205"/>
      <c r="C334" s="206" t="s">
        <v>924</v>
      </c>
      <c r="D334" s="424"/>
      <c r="E334" s="383">
        <v>7535800</v>
      </c>
      <c r="F334" s="383"/>
      <c r="G334" s="383"/>
      <c r="H334" s="383"/>
      <c r="I334" s="383"/>
      <c r="J334" s="383">
        <f>+E334+F334+G334+H334-I334</f>
        <v>7535800</v>
      </c>
      <c r="K334" s="425"/>
    </row>
    <row r="335" spans="1:11" ht="15.75" thickBot="1" x14ac:dyDescent="0.25">
      <c r="A335" s="120"/>
      <c r="B335" s="121"/>
      <c r="C335" s="122"/>
      <c r="D335" s="160"/>
      <c r="E335" s="161"/>
      <c r="F335" s="161"/>
      <c r="G335" s="161"/>
      <c r="H335" s="161"/>
      <c r="I335" s="161"/>
      <c r="J335" s="161"/>
      <c r="K335" s="162"/>
    </row>
    <row r="336" spans="1:11" ht="15.75" thickTop="1" x14ac:dyDescent="0.2">
      <c r="A336" s="135"/>
      <c r="B336" s="136"/>
      <c r="C336" s="137"/>
      <c r="D336" s="163"/>
      <c r="E336" s="164"/>
      <c r="F336" s="164"/>
      <c r="G336" s="164"/>
      <c r="H336" s="164"/>
      <c r="I336" s="164"/>
      <c r="J336" s="164"/>
      <c r="K336" s="165"/>
    </row>
    <row r="337" spans="1:11" ht="15.75" thickBot="1" x14ac:dyDescent="0.25">
      <c r="A337" s="82"/>
      <c r="B337" s="94"/>
      <c r="C337" s="95"/>
      <c r="D337" s="145"/>
      <c r="E337" s="34"/>
      <c r="F337" s="34"/>
      <c r="G337" s="34"/>
      <c r="H337" s="34"/>
      <c r="I337" s="34"/>
      <c r="J337" s="34"/>
      <c r="K337" s="166"/>
    </row>
    <row r="338" spans="1:11" ht="17.25" thickTop="1" thickBot="1" x14ac:dyDescent="0.3">
      <c r="A338" s="69" t="s">
        <v>83</v>
      </c>
      <c r="B338" s="70"/>
      <c r="C338" s="77" t="s">
        <v>828</v>
      </c>
      <c r="D338" s="142"/>
      <c r="E338" s="73">
        <f t="shared" ref="E338:J338" si="23">E22-E187</f>
        <v>-232358338</v>
      </c>
      <c r="F338" s="73">
        <f t="shared" si="23"/>
        <v>-3389620</v>
      </c>
      <c r="G338" s="73">
        <f t="shared" si="23"/>
        <v>6375000</v>
      </c>
      <c r="H338" s="73">
        <f t="shared" si="23"/>
        <v>15773762</v>
      </c>
      <c r="I338" s="73">
        <f t="shared" si="23"/>
        <v>0</v>
      </c>
      <c r="J338" s="167">
        <f t="shared" si="23"/>
        <v>-213599196</v>
      </c>
      <c r="K338" s="76" t="e">
        <f>J338/J$184*100</f>
        <v>#REF!</v>
      </c>
    </row>
    <row r="339" spans="1:11" ht="16.5" thickTop="1" x14ac:dyDescent="0.25">
      <c r="A339" s="69"/>
      <c r="B339" s="70"/>
      <c r="C339" s="71" t="s">
        <v>829</v>
      </c>
      <c r="D339" s="142"/>
      <c r="E339" s="168" t="e">
        <f>+E338/$J$184*100</f>
        <v>#REF!</v>
      </c>
      <c r="F339" s="168" t="e">
        <f>+F338/$J$184*100</f>
        <v>#REF!</v>
      </c>
      <c r="G339" s="168" t="e">
        <f>+G338/$J$184*100</f>
        <v>#REF!</v>
      </c>
      <c r="H339" s="168" t="e">
        <f>+H338/$J$184*100</f>
        <v>#REF!</v>
      </c>
      <c r="I339" s="32"/>
      <c r="J339" s="32"/>
      <c r="K339" s="144"/>
    </row>
    <row r="340" spans="1:11" ht="15.75" x14ac:dyDescent="0.25">
      <c r="A340" s="88"/>
      <c r="B340" s="89"/>
      <c r="C340" s="90" t="s">
        <v>88</v>
      </c>
      <c r="D340" s="146"/>
      <c r="E340" s="48"/>
      <c r="F340" s="48"/>
      <c r="G340" s="48"/>
      <c r="H340" s="48"/>
      <c r="I340" s="32"/>
      <c r="J340" s="32"/>
      <c r="K340" s="257"/>
    </row>
    <row r="341" spans="1:11" ht="15.75" x14ac:dyDescent="0.25">
      <c r="A341" s="88"/>
      <c r="B341" s="89"/>
      <c r="C341" s="246" t="s">
        <v>864</v>
      </c>
      <c r="D341" s="146"/>
      <c r="E341" s="32"/>
      <c r="F341" s="32"/>
      <c r="G341" s="32"/>
      <c r="H341" s="32"/>
      <c r="I341" s="32"/>
      <c r="J341" s="32"/>
      <c r="K341" s="93"/>
    </row>
    <row r="342" spans="1:11" ht="15.75" thickBot="1" x14ac:dyDescent="0.25">
      <c r="A342" s="169"/>
      <c r="B342" s="170"/>
      <c r="C342" s="171"/>
      <c r="D342" s="160"/>
      <c r="E342" s="161"/>
      <c r="F342" s="161"/>
      <c r="G342" s="161"/>
      <c r="H342" s="161"/>
      <c r="I342" s="161"/>
      <c r="J342" s="161"/>
      <c r="K342" s="166"/>
    </row>
    <row r="343" spans="1:11" ht="15.75" thickTop="1" x14ac:dyDescent="0.2">
      <c r="A343" s="61"/>
      <c r="B343" s="62"/>
      <c r="C343" s="172"/>
      <c r="D343" s="173"/>
      <c r="E343" s="66"/>
      <c r="F343" s="66"/>
      <c r="G343" s="66"/>
      <c r="H343" s="66"/>
      <c r="I343" s="66"/>
      <c r="J343" s="66"/>
      <c r="K343" s="174"/>
    </row>
    <row r="344" spans="1:11" ht="15.75" x14ac:dyDescent="0.25">
      <c r="A344" s="69" t="s">
        <v>90</v>
      </c>
      <c r="B344" s="70"/>
      <c r="C344" s="77" t="s">
        <v>91</v>
      </c>
      <c r="D344" s="142"/>
      <c r="E344" s="73">
        <f t="shared" ref="E344:J344" si="24">(E22-E81)-(E187-E232-E239)</f>
        <v>-143865579</v>
      </c>
      <c r="F344" s="73">
        <f t="shared" si="24"/>
        <v>-4461294</v>
      </c>
      <c r="G344" s="73">
        <f t="shared" si="24"/>
        <v>6517134</v>
      </c>
      <c r="H344" s="73">
        <f t="shared" si="24"/>
        <v>16369428</v>
      </c>
      <c r="I344" s="73">
        <f t="shared" si="24"/>
        <v>0</v>
      </c>
      <c r="J344" s="73">
        <f t="shared" si="24"/>
        <v>-125440311</v>
      </c>
      <c r="K344" s="92" t="e">
        <f>J344/J$184*100</f>
        <v>#REF!</v>
      </c>
    </row>
    <row r="345" spans="1:11" ht="15.75" x14ac:dyDescent="0.25">
      <c r="A345" s="69"/>
      <c r="B345" s="70"/>
      <c r="C345" s="77" t="s">
        <v>93</v>
      </c>
      <c r="D345" s="142"/>
      <c r="E345" s="73"/>
      <c r="F345" s="73"/>
      <c r="G345" s="73"/>
      <c r="H345" s="73"/>
      <c r="I345" s="73"/>
      <c r="J345" s="175"/>
      <c r="K345" s="93"/>
    </row>
    <row r="346" spans="1:11" ht="15.75" x14ac:dyDescent="0.25">
      <c r="A346" s="88"/>
      <c r="B346" s="89"/>
      <c r="C346" s="90" t="s">
        <v>95</v>
      </c>
      <c r="D346" s="146"/>
      <c r="E346" s="32"/>
      <c r="F346" s="32"/>
      <c r="G346" s="32"/>
      <c r="H346" s="32"/>
      <c r="I346" s="32"/>
      <c r="J346" s="29"/>
      <c r="K346" s="93"/>
    </row>
    <row r="347" spans="1:11" ht="15.75" thickBot="1" x14ac:dyDescent="0.25">
      <c r="A347" s="120"/>
      <c r="B347" s="121"/>
      <c r="C347" s="122"/>
      <c r="D347" s="160"/>
      <c r="E347" s="124"/>
      <c r="F347" s="124"/>
      <c r="G347" s="124"/>
      <c r="H347" s="124"/>
      <c r="I347" s="124"/>
      <c r="J347" s="124"/>
      <c r="K347" s="125"/>
    </row>
    <row r="348" spans="1:11" ht="15.75" thickTop="1" x14ac:dyDescent="0.2">
      <c r="A348" s="61"/>
      <c r="B348" s="62"/>
      <c r="C348" s="172"/>
      <c r="D348" s="173"/>
      <c r="E348" s="176"/>
      <c r="F348" s="176"/>
      <c r="G348" s="176"/>
      <c r="H348" s="176"/>
      <c r="I348" s="176"/>
      <c r="J348" s="176"/>
      <c r="K348" s="177"/>
    </row>
    <row r="349" spans="1:11" ht="15.75" x14ac:dyDescent="0.25">
      <c r="A349" s="69" t="s">
        <v>96</v>
      </c>
      <c r="B349" s="70"/>
      <c r="C349" s="77" t="s">
        <v>97</v>
      </c>
      <c r="D349" s="142"/>
      <c r="E349" s="73">
        <f t="shared" ref="E349:J349" si="25">E25-(E190+E252)</f>
        <v>-55044026</v>
      </c>
      <c r="F349" s="73">
        <f t="shared" si="25"/>
        <v>45905035</v>
      </c>
      <c r="G349" s="73">
        <f t="shared" si="25"/>
        <v>-267236763</v>
      </c>
      <c r="H349" s="73">
        <f t="shared" si="25"/>
        <v>-66434080</v>
      </c>
      <c r="I349" s="73">
        <f t="shared" si="25"/>
        <v>-412181835</v>
      </c>
      <c r="J349" s="73">
        <f t="shared" si="25"/>
        <v>69372001</v>
      </c>
      <c r="K349" s="92" t="e">
        <f>J349/J$184*100</f>
        <v>#REF!</v>
      </c>
    </row>
    <row r="350" spans="1:11" ht="15.75" x14ac:dyDescent="0.25">
      <c r="A350" s="69"/>
      <c r="B350" s="70"/>
      <c r="C350" s="77" t="s">
        <v>93</v>
      </c>
      <c r="D350" s="142"/>
      <c r="E350" s="73"/>
      <c r="F350" s="73"/>
      <c r="G350" s="73"/>
      <c r="H350" s="73"/>
      <c r="I350" s="73"/>
      <c r="J350" s="73"/>
      <c r="K350" s="93"/>
    </row>
    <row r="351" spans="1:11" ht="15.75" x14ac:dyDescent="0.25">
      <c r="A351" s="88"/>
      <c r="B351" s="89"/>
      <c r="C351" s="90" t="s">
        <v>99</v>
      </c>
      <c r="D351" s="146"/>
      <c r="E351" s="32"/>
      <c r="F351" s="32"/>
      <c r="G351" s="32"/>
      <c r="H351" s="32"/>
      <c r="I351" s="32"/>
      <c r="J351" s="29"/>
      <c r="K351" s="93"/>
    </row>
    <row r="352" spans="1:11" ht="15.75" thickBot="1" x14ac:dyDescent="0.25">
      <c r="A352" s="178"/>
      <c r="B352" s="179"/>
      <c r="C352" s="180"/>
      <c r="D352" s="181"/>
      <c r="E352" s="182"/>
      <c r="F352" s="182"/>
      <c r="G352" s="182"/>
      <c r="H352" s="182"/>
      <c r="I352" s="182"/>
      <c r="J352" s="182"/>
      <c r="K352" s="183"/>
    </row>
    <row r="353" spans="1:11" ht="15.75" thickTop="1" x14ac:dyDescent="0.2">
      <c r="A353" s="184"/>
      <c r="B353" s="184"/>
      <c r="C353" s="56"/>
      <c r="D353" s="185"/>
      <c r="E353" s="186"/>
      <c r="F353" s="186"/>
      <c r="G353" s="186"/>
      <c r="H353" s="186"/>
      <c r="I353" s="186"/>
      <c r="J353" s="186"/>
      <c r="K353" s="186"/>
    </row>
    <row r="354" spans="1:11" x14ac:dyDescent="0.2">
      <c r="A354" s="53"/>
      <c r="B354" s="53"/>
      <c r="C354" s="54"/>
      <c r="D354" s="187"/>
      <c r="E354" s="188"/>
      <c r="F354" s="188"/>
      <c r="G354" s="188"/>
      <c r="H354" s="188"/>
      <c r="I354" s="188"/>
      <c r="J354" s="188"/>
      <c r="K354" s="51"/>
    </row>
    <row r="355" spans="1:11" x14ac:dyDescent="0.2">
      <c r="A355" s="53"/>
      <c r="B355" s="53"/>
      <c r="C355" s="54"/>
      <c r="D355" s="187"/>
      <c r="E355" s="188"/>
      <c r="F355" s="188"/>
      <c r="G355" s="188"/>
      <c r="H355" s="188"/>
      <c r="I355" s="188"/>
      <c r="J355" s="188"/>
      <c r="K355" s="51"/>
    </row>
    <row r="356" spans="1:11" ht="23.25" x14ac:dyDescent="0.35">
      <c r="A356" s="201"/>
      <c r="B356" s="237" t="s">
        <v>841</v>
      </c>
      <c r="C356" s="239" t="s">
        <v>842</v>
      </c>
      <c r="D356" s="239" t="s">
        <v>843</v>
      </c>
      <c r="E356" s="237"/>
      <c r="F356" s="240"/>
      <c r="G356" s="264"/>
      <c r="H356" s="264"/>
      <c r="I356" s="381"/>
      <c r="J356" s="381"/>
      <c r="K356" s="9"/>
    </row>
    <row r="357" spans="1:11" x14ac:dyDescent="0.2">
      <c r="A357" s="53"/>
      <c r="B357" s="53"/>
      <c r="C357" s="54"/>
      <c r="D357" s="54"/>
      <c r="E357" s="51"/>
      <c r="F357" s="51"/>
      <c r="G357" s="51"/>
      <c r="H357" s="51"/>
      <c r="I357" s="51"/>
      <c r="J357" s="51"/>
      <c r="K357" s="51"/>
    </row>
    <row r="358" spans="1:11" ht="16.5" thickBot="1" x14ac:dyDescent="0.3">
      <c r="A358" s="305"/>
      <c r="B358" s="305"/>
      <c r="C358" s="346"/>
      <c r="D358" s="346"/>
      <c r="E358" s="241"/>
      <c r="F358" s="241"/>
      <c r="G358" s="241"/>
      <c r="H358" s="241"/>
      <c r="I358" s="55" t="s">
        <v>208</v>
      </c>
      <c r="J358" s="55"/>
      <c r="K358" s="241"/>
    </row>
    <row r="359" spans="1:11" ht="16.5" thickTop="1" x14ac:dyDescent="0.25">
      <c r="A359" s="306"/>
      <c r="B359" s="317"/>
      <c r="C359" s="347"/>
      <c r="D359" s="373"/>
      <c r="E359" s="334"/>
      <c r="F359" s="335"/>
      <c r="G359" s="335"/>
      <c r="H359" s="335"/>
      <c r="I359" s="335"/>
      <c r="J359" s="339"/>
      <c r="K359" s="276"/>
    </row>
    <row r="360" spans="1:11" ht="20.25" x14ac:dyDescent="0.3">
      <c r="A360" s="307"/>
      <c r="B360" s="242"/>
      <c r="C360" s="345"/>
      <c r="D360" s="374"/>
      <c r="E360" s="336"/>
      <c r="F360" s="337"/>
      <c r="G360" s="337"/>
      <c r="H360" s="337"/>
      <c r="I360" s="337"/>
      <c r="J360" s="340"/>
      <c r="K360" s="277" t="s">
        <v>209</v>
      </c>
    </row>
    <row r="361" spans="1:11" ht="15.75" x14ac:dyDescent="0.25">
      <c r="A361" s="307"/>
      <c r="B361" s="242"/>
      <c r="C361" s="345"/>
      <c r="D361" s="374"/>
      <c r="E361" s="278"/>
      <c r="F361" s="279"/>
      <c r="G361" s="280"/>
      <c r="H361" s="281"/>
      <c r="I361" s="282" t="s">
        <v>210</v>
      </c>
      <c r="J361" s="282" t="s">
        <v>211</v>
      </c>
      <c r="K361" s="277" t="s">
        <v>212</v>
      </c>
    </row>
    <row r="362" spans="1:11" ht="15.75" x14ac:dyDescent="0.25">
      <c r="A362" s="329" t="s">
        <v>213</v>
      </c>
      <c r="B362" s="242"/>
      <c r="C362" s="345"/>
      <c r="D362" s="374"/>
      <c r="E362" s="283" t="s">
        <v>214</v>
      </c>
      <c r="F362" s="284" t="s">
        <v>215</v>
      </c>
      <c r="G362" s="288" t="s">
        <v>216</v>
      </c>
      <c r="H362" s="289" t="s">
        <v>217</v>
      </c>
      <c r="I362" s="285" t="s">
        <v>218</v>
      </c>
      <c r="J362" s="285" t="s">
        <v>219</v>
      </c>
      <c r="K362" s="277" t="s">
        <v>220</v>
      </c>
    </row>
    <row r="363" spans="1:11" ht="15.75" x14ac:dyDescent="0.25">
      <c r="A363" s="307"/>
      <c r="B363" s="242"/>
      <c r="C363" s="345"/>
      <c r="D363" s="374"/>
      <c r="E363" s="283" t="s">
        <v>221</v>
      </c>
      <c r="F363" s="284" t="s">
        <v>222</v>
      </c>
      <c r="G363" s="288"/>
      <c r="H363" s="289"/>
      <c r="I363" s="294" t="s">
        <v>223</v>
      </c>
      <c r="J363" s="285" t="s">
        <v>224</v>
      </c>
      <c r="K363" s="277" t="s">
        <v>225</v>
      </c>
    </row>
    <row r="364" spans="1:11" ht="16.5" thickBot="1" x14ac:dyDescent="0.3">
      <c r="A364" s="308"/>
      <c r="B364" s="243"/>
      <c r="C364" s="346"/>
      <c r="D364" s="375"/>
      <c r="E364" s="290"/>
      <c r="F364" s="291"/>
      <c r="G364" s="292"/>
      <c r="H364" s="293"/>
      <c r="I364" s="295" t="s">
        <v>226</v>
      </c>
      <c r="J364" s="286"/>
      <c r="K364" s="287" t="s">
        <v>228</v>
      </c>
    </row>
    <row r="365" spans="1:11" ht="15.75" thickTop="1" x14ac:dyDescent="0.2">
      <c r="A365" s="57"/>
      <c r="B365" s="58"/>
      <c r="C365" s="59"/>
      <c r="D365" s="60"/>
      <c r="E365" s="260" t="s">
        <v>229</v>
      </c>
      <c r="F365" s="260" t="s">
        <v>230</v>
      </c>
      <c r="G365" s="260" t="s">
        <v>231</v>
      </c>
      <c r="H365" s="260" t="s">
        <v>232</v>
      </c>
      <c r="I365" s="260" t="s">
        <v>233</v>
      </c>
      <c r="J365" s="260" t="s">
        <v>234</v>
      </c>
      <c r="K365" s="272"/>
    </row>
    <row r="366" spans="1:11" ht="15.75" x14ac:dyDescent="0.25">
      <c r="A366" s="190"/>
      <c r="B366" s="191" t="s">
        <v>100</v>
      </c>
      <c r="C366" s="192" t="s">
        <v>674</v>
      </c>
      <c r="D366" s="193"/>
      <c r="E366" s="194"/>
      <c r="F366" s="194"/>
      <c r="G366" s="194"/>
      <c r="H366" s="194"/>
      <c r="I366" s="194"/>
      <c r="J366" s="194"/>
      <c r="K366" s="195"/>
    </row>
    <row r="367" spans="1:11" ht="15.75" x14ac:dyDescent="0.25">
      <c r="A367" s="190"/>
      <c r="B367" s="191"/>
      <c r="C367" s="192" t="s">
        <v>676</v>
      </c>
      <c r="D367" s="193"/>
      <c r="E367" s="194">
        <f t="shared" ref="E367:J367" si="26">E369+E379+E384</f>
        <v>10200716</v>
      </c>
      <c r="F367" s="194">
        <f t="shared" si="26"/>
        <v>3435106</v>
      </c>
      <c r="G367" s="194">
        <f t="shared" si="26"/>
        <v>70500</v>
      </c>
      <c r="H367" s="194">
        <f t="shared" si="26"/>
        <v>0</v>
      </c>
      <c r="I367" s="194">
        <f t="shared" si="26"/>
        <v>0</v>
      </c>
      <c r="J367" s="196">
        <f t="shared" si="26"/>
        <v>13706322</v>
      </c>
      <c r="K367" s="197" t="e">
        <f>J367/J$184*100</f>
        <v>#REF!</v>
      </c>
    </row>
    <row r="368" spans="1:11" x14ac:dyDescent="0.2">
      <c r="A368" s="82"/>
      <c r="B368" s="94"/>
      <c r="C368" s="95"/>
      <c r="D368" s="145"/>
      <c r="E368" s="34"/>
      <c r="F368" s="34"/>
      <c r="G368" s="34"/>
      <c r="H368" s="34"/>
      <c r="I368" s="34"/>
      <c r="J368" s="34"/>
      <c r="K368" s="105"/>
    </row>
    <row r="369" spans="1:11" x14ac:dyDescent="0.2">
      <c r="A369" s="99">
        <v>750</v>
      </c>
      <c r="B369" s="100"/>
      <c r="C369" s="101" t="s">
        <v>678</v>
      </c>
      <c r="D369" s="149"/>
      <c r="E369" s="31">
        <f>SUM(E370:E377)</f>
        <v>10200716</v>
      </c>
      <c r="F369" s="31">
        <v>1820059</v>
      </c>
      <c r="G369" s="31">
        <f>SUM(G370:G377)</f>
        <v>70500</v>
      </c>
      <c r="H369" s="31">
        <f>SUM(H370:H377)</f>
        <v>0</v>
      </c>
      <c r="I369" s="31">
        <f>SUM(I370:I377)</f>
        <v>0</v>
      </c>
      <c r="J369" s="31">
        <f>+E369+F369+G369+H369-I369</f>
        <v>12091275</v>
      </c>
      <c r="K369" s="103" t="e">
        <f t="shared" ref="K369:K377" si="27">J369/J$184*100</f>
        <v>#REF!</v>
      </c>
    </row>
    <row r="370" spans="1:11" x14ac:dyDescent="0.2">
      <c r="A370" s="99">
        <v>7500</v>
      </c>
      <c r="B370" s="100"/>
      <c r="C370" s="101" t="s">
        <v>680</v>
      </c>
      <c r="D370" s="149"/>
      <c r="E370" s="31"/>
      <c r="F370" s="31"/>
      <c r="G370" s="31">
        <v>70500</v>
      </c>
      <c r="H370" s="31">
        <v>0</v>
      </c>
      <c r="I370" s="31"/>
      <c r="J370" s="31">
        <f t="shared" ref="J370:J376" si="28">E370+F370+G370+H370-I370</f>
        <v>70500</v>
      </c>
      <c r="K370" s="103" t="e">
        <f t="shared" si="27"/>
        <v>#REF!</v>
      </c>
    </row>
    <row r="371" spans="1:11" x14ac:dyDescent="0.2">
      <c r="A371" s="99">
        <v>7501</v>
      </c>
      <c r="B371" s="100"/>
      <c r="C371" s="101" t="s">
        <v>876</v>
      </c>
      <c r="D371" s="149"/>
      <c r="E371" s="31"/>
      <c r="F371" s="31"/>
      <c r="G371" s="31">
        <v>0</v>
      </c>
      <c r="H371" s="31">
        <v>0</v>
      </c>
      <c r="I371" s="31"/>
      <c r="J371" s="31">
        <f t="shared" si="28"/>
        <v>0</v>
      </c>
      <c r="K371" s="103" t="e">
        <f t="shared" si="27"/>
        <v>#REF!</v>
      </c>
    </row>
    <row r="372" spans="1:11" x14ac:dyDescent="0.2">
      <c r="A372" s="99">
        <v>7502</v>
      </c>
      <c r="B372" s="100"/>
      <c r="C372" s="101" t="s">
        <v>682</v>
      </c>
      <c r="D372" s="149"/>
      <c r="E372" s="31"/>
      <c r="F372" s="31"/>
      <c r="G372" s="31">
        <v>0</v>
      </c>
      <c r="H372" s="31">
        <v>0</v>
      </c>
      <c r="I372" s="31"/>
      <c r="J372" s="31">
        <f t="shared" si="28"/>
        <v>0</v>
      </c>
      <c r="K372" s="103" t="e">
        <f t="shared" si="27"/>
        <v>#REF!</v>
      </c>
    </row>
    <row r="373" spans="1:11" x14ac:dyDescent="0.2">
      <c r="A373" s="99">
        <v>7503</v>
      </c>
      <c r="B373" s="100"/>
      <c r="C373" s="101" t="s">
        <v>877</v>
      </c>
      <c r="D373" s="149"/>
      <c r="E373" s="31">
        <v>9100716</v>
      </c>
      <c r="F373" s="31"/>
      <c r="G373" s="31">
        <v>0</v>
      </c>
      <c r="H373" s="31">
        <v>0</v>
      </c>
      <c r="I373" s="31"/>
      <c r="J373" s="31">
        <f t="shared" si="28"/>
        <v>9100716</v>
      </c>
      <c r="K373" s="103" t="e">
        <f t="shared" si="27"/>
        <v>#REF!</v>
      </c>
    </row>
    <row r="374" spans="1:11" s="423" customFormat="1" x14ac:dyDescent="0.2">
      <c r="A374" s="99">
        <v>7504</v>
      </c>
      <c r="B374" s="100"/>
      <c r="C374" s="101" t="s">
        <v>686</v>
      </c>
      <c r="D374" s="149"/>
      <c r="E374" s="31">
        <v>1100000</v>
      </c>
      <c r="F374" s="31"/>
      <c r="G374" s="31">
        <v>0</v>
      </c>
      <c r="H374" s="31">
        <v>0</v>
      </c>
      <c r="I374" s="31"/>
      <c r="J374" s="31">
        <f t="shared" si="28"/>
        <v>1100000</v>
      </c>
      <c r="K374" s="103" t="e">
        <f t="shared" si="27"/>
        <v>#REF!</v>
      </c>
    </row>
    <row r="375" spans="1:11" s="423" customFormat="1" x14ac:dyDescent="0.2">
      <c r="A375" s="99">
        <v>7505</v>
      </c>
      <c r="B375" s="100"/>
      <c r="C375" s="101" t="s">
        <v>688</v>
      </c>
      <c r="D375" s="149"/>
      <c r="E375" s="31"/>
      <c r="F375" s="31"/>
      <c r="G375" s="31">
        <v>0</v>
      </c>
      <c r="H375" s="31"/>
      <c r="I375" s="31"/>
      <c r="J375" s="31">
        <f t="shared" si="28"/>
        <v>0</v>
      </c>
      <c r="K375" s="103" t="e">
        <f t="shared" si="27"/>
        <v>#REF!</v>
      </c>
    </row>
    <row r="376" spans="1:11" x14ac:dyDescent="0.2">
      <c r="A376" s="99">
        <v>7506</v>
      </c>
      <c r="B376" s="100"/>
      <c r="C376" s="101" t="s">
        <v>692</v>
      </c>
      <c r="D376" s="149"/>
      <c r="E376" s="31"/>
      <c r="F376" s="31"/>
      <c r="G376" s="31">
        <v>0</v>
      </c>
      <c r="H376" s="31">
        <v>0</v>
      </c>
      <c r="I376" s="31"/>
      <c r="J376" s="31">
        <f t="shared" si="28"/>
        <v>0</v>
      </c>
      <c r="K376" s="103" t="e">
        <f t="shared" si="27"/>
        <v>#REF!</v>
      </c>
    </row>
    <row r="377" spans="1:11" x14ac:dyDescent="0.2">
      <c r="A377" s="99">
        <v>7507</v>
      </c>
      <c r="B377" s="100"/>
      <c r="C377" s="101" t="s">
        <v>690</v>
      </c>
      <c r="D377" s="149"/>
      <c r="E377" s="31"/>
      <c r="F377" s="31"/>
      <c r="G377" s="31"/>
      <c r="H377" s="31"/>
      <c r="I377" s="31">
        <f>+H377+G377+F377+E377</f>
        <v>0</v>
      </c>
      <c r="J377" s="31">
        <f>E377+F377+G377+H377-I377</f>
        <v>0</v>
      </c>
      <c r="K377" s="103" t="e">
        <f t="shared" si="27"/>
        <v>#REF!</v>
      </c>
    </row>
    <row r="378" spans="1:11" x14ac:dyDescent="0.2">
      <c r="A378" s="82"/>
      <c r="B378" s="94"/>
      <c r="C378" s="95"/>
      <c r="D378" s="145"/>
      <c r="E378" s="34"/>
      <c r="F378" s="34"/>
      <c r="G378" s="34"/>
      <c r="H378" s="34"/>
      <c r="I378" s="34"/>
      <c r="J378" s="34"/>
      <c r="K378" s="105"/>
    </row>
    <row r="379" spans="1:11" x14ac:dyDescent="0.2">
      <c r="A379" s="99">
        <v>751</v>
      </c>
      <c r="B379" s="100"/>
      <c r="C379" s="101" t="s">
        <v>676</v>
      </c>
      <c r="D379" s="149"/>
      <c r="E379" s="31">
        <f>SUM(E380:E382)</f>
        <v>0</v>
      </c>
      <c r="F379" s="31">
        <v>1237743</v>
      </c>
      <c r="G379" s="31">
        <f>SUM(G380:G382)</f>
        <v>0</v>
      </c>
      <c r="H379" s="31">
        <v>0</v>
      </c>
      <c r="I379" s="31">
        <f>SUM(I380:I382)</f>
        <v>0</v>
      </c>
      <c r="J379" s="31">
        <f>+E379+F379+G379+H379-I379</f>
        <v>1237743</v>
      </c>
      <c r="K379" s="103" t="e">
        <f>J379/J$184*100</f>
        <v>#REF!</v>
      </c>
    </row>
    <row r="380" spans="1:11" x14ac:dyDescent="0.2">
      <c r="A380" s="99">
        <v>7510</v>
      </c>
      <c r="B380" s="100"/>
      <c r="C380" s="101" t="s">
        <v>694</v>
      </c>
      <c r="D380" s="149"/>
      <c r="E380" s="31"/>
      <c r="F380" s="31"/>
      <c r="G380" s="31">
        <v>0</v>
      </c>
      <c r="H380" s="31">
        <v>0</v>
      </c>
      <c r="I380" s="31">
        <v>0</v>
      </c>
      <c r="J380" s="31">
        <f>E380+F380+G380+H380-I380</f>
        <v>0</v>
      </c>
      <c r="K380" s="103" t="e">
        <f>J380/J$184*100</f>
        <v>#REF!</v>
      </c>
    </row>
    <row r="381" spans="1:11" x14ac:dyDescent="0.2">
      <c r="A381" s="99">
        <v>7511</v>
      </c>
      <c r="B381" s="100"/>
      <c r="C381" s="101" t="s">
        <v>696</v>
      </c>
      <c r="D381" s="149"/>
      <c r="E381" s="31"/>
      <c r="F381" s="31"/>
      <c r="G381" s="31">
        <v>0</v>
      </c>
      <c r="H381" s="31">
        <v>0</v>
      </c>
      <c r="I381" s="31">
        <v>0</v>
      </c>
      <c r="J381" s="31">
        <f>E381+F381+G381+H381-I381</f>
        <v>0</v>
      </c>
      <c r="K381" s="103" t="e">
        <f>J381/J$184*100</f>
        <v>#REF!</v>
      </c>
    </row>
    <row r="382" spans="1:11" x14ac:dyDescent="0.2">
      <c r="A382" s="99">
        <v>7512</v>
      </c>
      <c r="B382" s="100"/>
      <c r="C382" s="101" t="s">
        <v>698</v>
      </c>
      <c r="D382" s="149"/>
      <c r="E382" s="31"/>
      <c r="F382" s="31"/>
      <c r="G382" s="31">
        <v>0</v>
      </c>
      <c r="H382" s="31">
        <v>0</v>
      </c>
      <c r="I382" s="31">
        <v>0</v>
      </c>
      <c r="J382" s="31">
        <f>E382+F382+G382+H382-I382</f>
        <v>0</v>
      </c>
      <c r="K382" s="103" t="e">
        <f>J382/J$184*100</f>
        <v>#REF!</v>
      </c>
    </row>
    <row r="383" spans="1:11" x14ac:dyDescent="0.2">
      <c r="A383" s="82"/>
      <c r="B383" s="94"/>
      <c r="C383" s="95"/>
      <c r="D383" s="145"/>
      <c r="E383" s="34"/>
      <c r="F383" s="34"/>
      <c r="G383" s="34"/>
      <c r="H383" s="34"/>
      <c r="I383" s="34"/>
      <c r="J383" s="34"/>
      <c r="K383" s="150"/>
    </row>
    <row r="384" spans="1:11" x14ac:dyDescent="0.2">
      <c r="A384" s="99">
        <v>752</v>
      </c>
      <c r="B384" s="100"/>
      <c r="C384" s="101" t="s">
        <v>700</v>
      </c>
      <c r="D384" s="149"/>
      <c r="E384" s="31">
        <f>E385</f>
        <v>0</v>
      </c>
      <c r="F384" s="31">
        <v>377304</v>
      </c>
      <c r="G384" s="31">
        <f>G385</f>
        <v>0</v>
      </c>
      <c r="H384" s="31">
        <f>H385</f>
        <v>0</v>
      </c>
      <c r="I384" s="31">
        <f>I385</f>
        <v>0</v>
      </c>
      <c r="J384" s="31">
        <f>E384+F384+G384+H384</f>
        <v>377304</v>
      </c>
      <c r="K384" s="103" t="e">
        <f>J384/J$184*100</f>
        <v>#REF!</v>
      </c>
    </row>
    <row r="385" spans="1:11" x14ac:dyDescent="0.2">
      <c r="A385" s="99">
        <v>7520</v>
      </c>
      <c r="B385" s="100"/>
      <c r="C385" s="101" t="s">
        <v>102</v>
      </c>
      <c r="D385" s="149"/>
      <c r="E385" s="31"/>
      <c r="F385" s="31">
        <v>0</v>
      </c>
      <c r="G385" s="31">
        <v>0</v>
      </c>
      <c r="H385" s="31">
        <v>0</v>
      </c>
      <c r="I385" s="31">
        <v>0</v>
      </c>
      <c r="J385" s="31">
        <f>E385+F385+G385+H385-I385</f>
        <v>0</v>
      </c>
      <c r="K385" s="103" t="e">
        <f>J385/J$184*100</f>
        <v>#REF!</v>
      </c>
    </row>
    <row r="386" spans="1:11" ht="15.75" thickBot="1" x14ac:dyDescent="0.25">
      <c r="A386" s="120"/>
      <c r="B386" s="121"/>
      <c r="C386" s="122"/>
      <c r="D386" s="160"/>
      <c r="E386" s="161"/>
      <c r="F386" s="161"/>
      <c r="G386" s="161"/>
      <c r="H386" s="161"/>
      <c r="I386" s="161"/>
      <c r="J386" s="161"/>
      <c r="K386" s="166"/>
    </row>
    <row r="387" spans="1:11" ht="15.75" thickTop="1" x14ac:dyDescent="0.2">
      <c r="A387" s="135"/>
      <c r="B387" s="136"/>
      <c r="C387" s="137"/>
      <c r="D387" s="163"/>
      <c r="E387" s="164"/>
      <c r="F387" s="164"/>
      <c r="G387" s="164"/>
      <c r="H387" s="164"/>
      <c r="I387" s="164"/>
      <c r="J387" s="164"/>
      <c r="K387" s="198"/>
    </row>
    <row r="388" spans="1:11" ht="15.75" x14ac:dyDescent="0.25">
      <c r="A388" s="69"/>
      <c r="B388" s="70" t="s">
        <v>104</v>
      </c>
      <c r="C388" s="77" t="s">
        <v>105</v>
      </c>
      <c r="D388" s="142"/>
      <c r="E388" s="73"/>
      <c r="F388" s="73"/>
      <c r="G388" s="73"/>
      <c r="H388" s="73"/>
      <c r="I388" s="73"/>
      <c r="J388" s="73"/>
      <c r="K388" s="93"/>
    </row>
    <row r="389" spans="1:11" ht="15.75" x14ac:dyDescent="0.25">
      <c r="A389" s="69"/>
      <c r="B389" s="70"/>
      <c r="C389" s="77" t="s">
        <v>107</v>
      </c>
      <c r="D389" s="142"/>
      <c r="E389" s="73">
        <f t="shared" ref="E389:J389" si="29">E391+E400+E408+E413</f>
        <v>391667</v>
      </c>
      <c r="F389" s="73">
        <f t="shared" si="29"/>
        <v>1364441</v>
      </c>
      <c r="G389" s="73">
        <f t="shared" si="29"/>
        <v>0</v>
      </c>
      <c r="H389" s="73">
        <f t="shared" si="29"/>
        <v>0</v>
      </c>
      <c r="I389" s="73">
        <f t="shared" si="29"/>
        <v>0</v>
      </c>
      <c r="J389" s="73">
        <f t="shared" si="29"/>
        <v>1756108</v>
      </c>
      <c r="K389" s="197" t="e">
        <f>J389/J$184*100</f>
        <v>#REF!</v>
      </c>
    </row>
    <row r="390" spans="1:11" x14ac:dyDescent="0.2">
      <c r="A390" s="82"/>
      <c r="B390" s="94"/>
      <c r="C390" s="95"/>
      <c r="D390" s="145"/>
      <c r="E390" s="34"/>
      <c r="F390" s="34"/>
      <c r="G390" s="34"/>
      <c r="H390" s="34"/>
      <c r="I390" s="34"/>
      <c r="J390" s="34"/>
      <c r="K390" s="105"/>
    </row>
    <row r="391" spans="1:11" x14ac:dyDescent="0.2">
      <c r="A391" s="99">
        <v>440</v>
      </c>
      <c r="B391" s="100"/>
      <c r="C391" s="101" t="s">
        <v>109</v>
      </c>
      <c r="D391" s="149"/>
      <c r="E391" s="31">
        <f>SUM(E392:E398)</f>
        <v>391667</v>
      </c>
      <c r="F391" s="31">
        <v>962961</v>
      </c>
      <c r="G391" s="31">
        <v>0</v>
      </c>
      <c r="H391" s="31">
        <v>0</v>
      </c>
      <c r="I391" s="31">
        <f>SUM(I392:I398)</f>
        <v>0</v>
      </c>
      <c r="J391" s="31">
        <f>+E391+F391+G391+H391-I391</f>
        <v>1354628</v>
      </c>
      <c r="K391" s="103" t="e">
        <f t="shared" ref="K391:K398" si="30">J391/J$184*100</f>
        <v>#REF!</v>
      </c>
    </row>
    <row r="392" spans="1:11" x14ac:dyDescent="0.2">
      <c r="A392" s="99">
        <v>4400</v>
      </c>
      <c r="B392" s="100"/>
      <c r="C392" s="101" t="s">
        <v>111</v>
      </c>
      <c r="D392" s="149"/>
      <c r="E392" s="31"/>
      <c r="F392" s="31"/>
      <c r="G392" s="31">
        <v>0</v>
      </c>
      <c r="H392" s="31">
        <v>0</v>
      </c>
      <c r="I392" s="31">
        <v>0</v>
      </c>
      <c r="J392" s="31">
        <f t="shared" ref="J392:J398" si="31">E392+F392+G392+H392</f>
        <v>0</v>
      </c>
      <c r="K392" s="103" t="e">
        <f t="shared" si="30"/>
        <v>#REF!</v>
      </c>
    </row>
    <row r="393" spans="1:11" x14ac:dyDescent="0.2">
      <c r="A393" s="99">
        <v>4401</v>
      </c>
      <c r="B393" s="100"/>
      <c r="C393" s="101" t="s">
        <v>113</v>
      </c>
      <c r="D393" s="149"/>
      <c r="E393" s="31"/>
      <c r="F393" s="31"/>
      <c r="G393" s="31">
        <v>0</v>
      </c>
      <c r="H393" s="31">
        <v>0</v>
      </c>
      <c r="I393" s="31">
        <v>0</v>
      </c>
      <c r="J393" s="31">
        <f t="shared" si="31"/>
        <v>0</v>
      </c>
      <c r="K393" s="103" t="e">
        <f t="shared" si="30"/>
        <v>#REF!</v>
      </c>
    </row>
    <row r="394" spans="1:11" x14ac:dyDescent="0.2">
      <c r="A394" s="99">
        <v>4402</v>
      </c>
      <c r="B394" s="100"/>
      <c r="C394" s="101" t="s">
        <v>115</v>
      </c>
      <c r="D394" s="149"/>
      <c r="E394" s="31"/>
      <c r="F394" s="31"/>
      <c r="G394" s="31">
        <v>0</v>
      </c>
      <c r="H394" s="31">
        <v>0</v>
      </c>
      <c r="I394" s="31">
        <v>0</v>
      </c>
      <c r="J394" s="31">
        <f t="shared" si="31"/>
        <v>0</v>
      </c>
      <c r="K394" s="103" t="e">
        <f t="shared" si="30"/>
        <v>#REF!</v>
      </c>
    </row>
    <row r="395" spans="1:11" x14ac:dyDescent="0.2">
      <c r="A395" s="99">
        <v>4403</v>
      </c>
      <c r="B395" s="100"/>
      <c r="C395" s="101" t="s">
        <v>117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si="31"/>
        <v>0</v>
      </c>
      <c r="K395" s="103" t="e">
        <f t="shared" si="30"/>
        <v>#REF!</v>
      </c>
    </row>
    <row r="396" spans="1:11" x14ac:dyDescent="0.2">
      <c r="A396" s="99">
        <v>4404</v>
      </c>
      <c r="B396" s="100"/>
      <c r="C396" s="101" t="s">
        <v>119</v>
      </c>
      <c r="D396" s="149"/>
      <c r="E396" s="31">
        <v>391667</v>
      </c>
      <c r="F396" s="31"/>
      <c r="G396" s="31">
        <v>0</v>
      </c>
      <c r="H396" s="31">
        <v>0</v>
      </c>
      <c r="I396" s="31">
        <v>0</v>
      </c>
      <c r="J396" s="31">
        <f t="shared" si="31"/>
        <v>391667</v>
      </c>
      <c r="K396" s="103" t="e">
        <f t="shared" si="30"/>
        <v>#REF!</v>
      </c>
    </row>
    <row r="397" spans="1:11" x14ac:dyDescent="0.2">
      <c r="A397" s="106">
        <v>4405</v>
      </c>
      <c r="B397" s="107"/>
      <c r="C397" s="108" t="s">
        <v>121</v>
      </c>
      <c r="D397" s="153"/>
      <c r="E397" s="109"/>
      <c r="F397" s="109"/>
      <c r="G397" s="109">
        <v>0</v>
      </c>
      <c r="H397" s="109">
        <v>0</v>
      </c>
      <c r="I397" s="109">
        <v>0</v>
      </c>
      <c r="J397" s="109">
        <f t="shared" si="31"/>
        <v>0</v>
      </c>
      <c r="K397" s="103" t="e">
        <f t="shared" si="30"/>
        <v>#REF!</v>
      </c>
    </row>
    <row r="398" spans="1:11" x14ac:dyDescent="0.2">
      <c r="A398" s="99">
        <v>4406</v>
      </c>
      <c r="B398" s="100"/>
      <c r="C398" s="101" t="s">
        <v>123</v>
      </c>
      <c r="D398" s="149"/>
      <c r="E398" s="31"/>
      <c r="F398" s="31"/>
      <c r="G398" s="31">
        <v>0</v>
      </c>
      <c r="H398" s="31">
        <v>0</v>
      </c>
      <c r="I398" s="31"/>
      <c r="J398" s="31">
        <f t="shared" si="31"/>
        <v>0</v>
      </c>
      <c r="K398" s="103" t="e">
        <f t="shared" si="30"/>
        <v>#REF!</v>
      </c>
    </row>
    <row r="399" spans="1:11" x14ac:dyDescent="0.2">
      <c r="A399" s="82"/>
      <c r="B399" s="94"/>
      <c r="C399" s="95"/>
      <c r="D399" s="145"/>
      <c r="E399" s="34"/>
      <c r="F399" s="34"/>
      <c r="G399" s="34"/>
      <c r="H399" s="34"/>
      <c r="I399" s="34"/>
      <c r="J399" s="34"/>
      <c r="K399" s="105"/>
    </row>
    <row r="400" spans="1:11" x14ac:dyDescent="0.2">
      <c r="A400" s="99">
        <v>441</v>
      </c>
      <c r="B400" s="100"/>
      <c r="C400" s="101" t="s">
        <v>125</v>
      </c>
      <c r="D400" s="149"/>
      <c r="E400" s="31">
        <f>SUM(E401:E405)</f>
        <v>0</v>
      </c>
      <c r="F400" s="31">
        <v>389057</v>
      </c>
      <c r="G400" s="31">
        <v>0</v>
      </c>
      <c r="H400" s="31">
        <v>0</v>
      </c>
      <c r="I400" s="31">
        <f>SUM(I401:I405)</f>
        <v>0</v>
      </c>
      <c r="J400" s="31">
        <f>+E400+F400+G400+H400-I400</f>
        <v>389057</v>
      </c>
      <c r="K400" s="103" t="e">
        <f t="shared" ref="K400:K406" si="32">J400/J$184*100</f>
        <v>#REF!</v>
      </c>
    </row>
    <row r="401" spans="1:11" x14ac:dyDescent="0.2">
      <c r="A401" s="99">
        <v>4410</v>
      </c>
      <c r="B401" s="100"/>
      <c r="C401" s="101" t="s">
        <v>701</v>
      </c>
      <c r="D401" s="149"/>
      <c r="E401" s="31"/>
      <c r="F401" s="31"/>
      <c r="G401" s="31">
        <v>0</v>
      </c>
      <c r="H401" s="31">
        <v>0</v>
      </c>
      <c r="I401" s="31">
        <v>0</v>
      </c>
      <c r="J401" s="31">
        <f t="shared" ref="J401:J406" si="33">E401+F401+G401+H401</f>
        <v>0</v>
      </c>
      <c r="K401" s="103" t="e">
        <f t="shared" si="32"/>
        <v>#REF!</v>
      </c>
    </row>
    <row r="402" spans="1:11" x14ac:dyDescent="0.2">
      <c r="A402" s="99">
        <v>4411</v>
      </c>
      <c r="B402" s="100"/>
      <c r="C402" s="101" t="s">
        <v>703</v>
      </c>
      <c r="D402" s="149"/>
      <c r="E402" s="31"/>
      <c r="F402" s="31"/>
      <c r="G402" s="31">
        <v>0</v>
      </c>
      <c r="H402" s="31">
        <v>0</v>
      </c>
      <c r="I402" s="31">
        <v>0</v>
      </c>
      <c r="J402" s="31">
        <f t="shared" si="33"/>
        <v>0</v>
      </c>
      <c r="K402" s="103" t="e">
        <f t="shared" si="32"/>
        <v>#REF!</v>
      </c>
    </row>
    <row r="403" spans="1:11" x14ac:dyDescent="0.2">
      <c r="A403" s="99">
        <v>4412</v>
      </c>
      <c r="B403" s="100"/>
      <c r="C403" s="101" t="s">
        <v>705</v>
      </c>
      <c r="D403" s="149"/>
      <c r="E403" s="31"/>
      <c r="F403" s="31"/>
      <c r="G403" s="31">
        <v>0</v>
      </c>
      <c r="H403" s="31">
        <v>0</v>
      </c>
      <c r="I403" s="31">
        <v>0</v>
      </c>
      <c r="J403" s="31">
        <f t="shared" si="33"/>
        <v>0</v>
      </c>
      <c r="K403" s="103" t="e">
        <f t="shared" si="32"/>
        <v>#REF!</v>
      </c>
    </row>
    <row r="404" spans="1:11" x14ac:dyDescent="0.2">
      <c r="A404" s="99">
        <v>4413</v>
      </c>
      <c r="B404" s="100"/>
      <c r="C404" s="101" t="s">
        <v>707</v>
      </c>
      <c r="D404" s="149"/>
      <c r="E404" s="31"/>
      <c r="F404" s="31"/>
      <c r="G404" s="31">
        <v>0</v>
      </c>
      <c r="H404" s="31">
        <v>0</v>
      </c>
      <c r="I404" s="31">
        <v>0</v>
      </c>
      <c r="J404" s="31">
        <f t="shared" si="33"/>
        <v>0</v>
      </c>
      <c r="K404" s="103" t="e">
        <f t="shared" si="32"/>
        <v>#REF!</v>
      </c>
    </row>
    <row r="405" spans="1:11" x14ac:dyDescent="0.2">
      <c r="A405" s="99">
        <v>4414</v>
      </c>
      <c r="B405" s="100"/>
      <c r="C405" s="101" t="s">
        <v>709</v>
      </c>
      <c r="D405" s="149"/>
      <c r="E405" s="31"/>
      <c r="F405" s="31"/>
      <c r="G405" s="31">
        <v>0</v>
      </c>
      <c r="H405" s="31">
        <v>0</v>
      </c>
      <c r="I405" s="31">
        <v>0</v>
      </c>
      <c r="J405" s="31">
        <f t="shared" si="33"/>
        <v>0</v>
      </c>
      <c r="K405" s="103" t="e">
        <f t="shared" si="32"/>
        <v>#REF!</v>
      </c>
    </row>
    <row r="406" spans="1:11" x14ac:dyDescent="0.2">
      <c r="A406" s="99">
        <v>4415</v>
      </c>
      <c r="B406" s="100"/>
      <c r="C406" s="101" t="s">
        <v>835</v>
      </c>
      <c r="D406" s="149"/>
      <c r="E406" s="31"/>
      <c r="F406" s="31"/>
      <c r="G406" s="31">
        <v>0</v>
      </c>
      <c r="H406" s="31">
        <v>0</v>
      </c>
      <c r="I406" s="31">
        <v>0</v>
      </c>
      <c r="J406" s="31">
        <f t="shared" si="33"/>
        <v>0</v>
      </c>
      <c r="K406" s="103" t="e">
        <f t="shared" si="32"/>
        <v>#REF!</v>
      </c>
    </row>
    <row r="407" spans="1:11" x14ac:dyDescent="0.2">
      <c r="A407" s="82"/>
      <c r="B407" s="94"/>
      <c r="C407" s="95"/>
      <c r="D407" s="145"/>
      <c r="E407" s="34"/>
      <c r="F407" s="34"/>
      <c r="G407" s="34"/>
      <c r="H407" s="34"/>
      <c r="I407" s="34"/>
      <c r="J407" s="34"/>
      <c r="K407" s="150"/>
    </row>
    <row r="408" spans="1:11" x14ac:dyDescent="0.2">
      <c r="A408" s="99">
        <v>442</v>
      </c>
      <c r="B408" s="100"/>
      <c r="C408" s="101" t="s">
        <v>711</v>
      </c>
      <c r="D408" s="149"/>
      <c r="E408" s="31">
        <f>SUM(E409:E411)</f>
        <v>0</v>
      </c>
      <c r="F408" s="31">
        <v>12423</v>
      </c>
      <c r="G408" s="31">
        <v>0</v>
      </c>
      <c r="H408" s="31">
        <f>H409+H410</f>
        <v>0</v>
      </c>
      <c r="I408" s="31">
        <f>I409+I410</f>
        <v>0</v>
      </c>
      <c r="J408" s="31">
        <f>+E408+F408+G408+H408-I408</f>
        <v>12423</v>
      </c>
      <c r="K408" s="103" t="e">
        <f>J408/J$184*100</f>
        <v>#REF!</v>
      </c>
    </row>
    <row r="409" spans="1:11" x14ac:dyDescent="0.2">
      <c r="A409" s="99">
        <v>4420</v>
      </c>
      <c r="B409" s="100"/>
      <c r="C409" s="101" t="s">
        <v>713</v>
      </c>
      <c r="D409" s="149"/>
      <c r="E409" s="31"/>
      <c r="F409" s="31">
        <v>0</v>
      </c>
      <c r="G409" s="31">
        <v>0</v>
      </c>
      <c r="H409" s="31">
        <v>0</v>
      </c>
      <c r="I409" s="31">
        <v>0</v>
      </c>
      <c r="J409" s="31">
        <f>E409+F409+G409+H409</f>
        <v>0</v>
      </c>
      <c r="K409" s="103" t="e">
        <f>J409/J$184*100</f>
        <v>#REF!</v>
      </c>
    </row>
    <row r="410" spans="1:11" x14ac:dyDescent="0.2">
      <c r="A410" s="99">
        <v>4421</v>
      </c>
      <c r="B410" s="100"/>
      <c r="C410" s="101" t="s">
        <v>715</v>
      </c>
      <c r="D410" s="149"/>
      <c r="E410" s="31"/>
      <c r="F410" s="31">
        <v>0</v>
      </c>
      <c r="G410" s="31">
        <v>0</v>
      </c>
      <c r="H410" s="31">
        <v>0</v>
      </c>
      <c r="I410" s="31">
        <v>0</v>
      </c>
      <c r="J410" s="31">
        <f>E410+F410+G410+H410</f>
        <v>0</v>
      </c>
      <c r="K410" s="103" t="e">
        <f>J410/J$184*100</f>
        <v>#REF!</v>
      </c>
    </row>
    <row r="411" spans="1:11" x14ac:dyDescent="0.2">
      <c r="A411" s="99">
        <v>4422</v>
      </c>
      <c r="B411" s="100"/>
      <c r="C411" s="101" t="s">
        <v>824</v>
      </c>
      <c r="D411" s="149"/>
      <c r="E411" s="31"/>
      <c r="F411" s="31">
        <v>0</v>
      </c>
      <c r="G411" s="31">
        <v>0</v>
      </c>
      <c r="H411" s="31">
        <v>0</v>
      </c>
      <c r="I411" s="31">
        <v>0</v>
      </c>
      <c r="J411" s="31">
        <f>E411+F411+G411+H411</f>
        <v>0</v>
      </c>
      <c r="K411" s="103" t="e">
        <f>J411/J$184*100</f>
        <v>#REF!</v>
      </c>
    </row>
    <row r="412" spans="1:11" x14ac:dyDescent="0.2">
      <c r="A412" s="204"/>
      <c r="B412" s="205"/>
      <c r="C412" s="206"/>
      <c r="D412" s="424"/>
      <c r="E412" s="383"/>
      <c r="F412" s="383"/>
      <c r="G412" s="383"/>
      <c r="H412" s="383"/>
      <c r="I412" s="383"/>
      <c r="J412" s="383"/>
      <c r="K412" s="425"/>
    </row>
    <row r="413" spans="1:11" x14ac:dyDescent="0.2">
      <c r="A413" s="204">
        <v>443</v>
      </c>
      <c r="B413" s="205"/>
      <c r="C413" s="206" t="s">
        <v>878</v>
      </c>
      <c r="D413" s="424"/>
      <c r="E413" s="383">
        <f>+E414</f>
        <v>0</v>
      </c>
      <c r="F413" s="383">
        <f>+F414</f>
        <v>0</v>
      </c>
      <c r="G413" s="383">
        <f>+G414</f>
        <v>0</v>
      </c>
      <c r="H413" s="383">
        <f>+H414</f>
        <v>0</v>
      </c>
      <c r="I413" s="383">
        <f>+I414</f>
        <v>0</v>
      </c>
      <c r="J413" s="31">
        <f>+E413+F413+G413+H413-I413</f>
        <v>0</v>
      </c>
      <c r="K413" s="425"/>
    </row>
    <row r="414" spans="1:11" x14ac:dyDescent="0.2">
      <c r="A414" s="204">
        <v>4430</v>
      </c>
      <c r="B414" s="205"/>
      <c r="C414" s="206" t="s">
        <v>879</v>
      </c>
      <c r="D414" s="424"/>
      <c r="E414" s="383"/>
      <c r="F414" s="383"/>
      <c r="G414" s="383"/>
      <c r="H414" s="383"/>
      <c r="I414" s="383"/>
      <c r="J414" s="383">
        <f>+E414+F414+G414+H414+-I414</f>
        <v>0</v>
      </c>
      <c r="K414" s="425"/>
    </row>
    <row r="415" spans="1:11" ht="15.75" thickBot="1" x14ac:dyDescent="0.25">
      <c r="A415" s="120"/>
      <c r="B415" s="121"/>
      <c r="C415" s="122"/>
      <c r="D415" s="160"/>
      <c r="E415" s="161"/>
      <c r="F415" s="161"/>
      <c r="G415" s="161"/>
      <c r="H415" s="161"/>
      <c r="I415" s="161"/>
      <c r="J415" s="161"/>
      <c r="K415" s="166"/>
    </row>
    <row r="416" spans="1:11" ht="15.75" thickTop="1" x14ac:dyDescent="0.2">
      <c r="A416" s="135"/>
      <c r="B416" s="136"/>
      <c r="C416" s="137"/>
      <c r="D416" s="163"/>
      <c r="E416" s="164"/>
      <c r="F416" s="164"/>
      <c r="G416" s="164"/>
      <c r="H416" s="164"/>
      <c r="I416" s="164"/>
      <c r="J416" s="164"/>
      <c r="K416" s="198"/>
    </row>
    <row r="417" spans="1:11" ht="15.75" x14ac:dyDescent="0.25">
      <c r="A417" s="69"/>
      <c r="B417" s="70" t="s">
        <v>717</v>
      </c>
      <c r="C417" s="77" t="s">
        <v>718</v>
      </c>
      <c r="D417" s="142"/>
      <c r="E417" s="73">
        <f t="shared" ref="E417:J417" si="34">E367-E389</f>
        <v>9809049</v>
      </c>
      <c r="F417" s="73">
        <f t="shared" si="34"/>
        <v>2070665</v>
      </c>
      <c r="G417" s="73">
        <f t="shared" si="34"/>
        <v>70500</v>
      </c>
      <c r="H417" s="73">
        <f t="shared" si="34"/>
        <v>0</v>
      </c>
      <c r="I417" s="73">
        <f t="shared" si="34"/>
        <v>0</v>
      </c>
      <c r="J417" s="199">
        <f t="shared" si="34"/>
        <v>11950214</v>
      </c>
      <c r="K417" s="197" t="e">
        <f>J417/J$184*100</f>
        <v>#REF!</v>
      </c>
    </row>
    <row r="418" spans="1:11" ht="15.75" x14ac:dyDescent="0.25">
      <c r="A418" s="69"/>
      <c r="B418" s="70"/>
      <c r="C418" s="77" t="s">
        <v>719</v>
      </c>
      <c r="D418" s="142"/>
      <c r="E418" s="73"/>
      <c r="F418" s="73"/>
      <c r="G418" s="73"/>
      <c r="H418" s="73"/>
      <c r="I418" s="73"/>
      <c r="J418" s="175"/>
      <c r="K418" s="93"/>
    </row>
    <row r="419" spans="1:11" ht="15.75" x14ac:dyDescent="0.25">
      <c r="A419" s="88"/>
      <c r="B419" s="89"/>
      <c r="C419" s="90" t="s">
        <v>721</v>
      </c>
      <c r="D419" s="146"/>
      <c r="E419" s="32"/>
      <c r="F419" s="32"/>
      <c r="G419" s="32"/>
      <c r="H419" s="32"/>
      <c r="I419" s="32"/>
      <c r="J419" s="29"/>
      <c r="K419" s="93"/>
    </row>
    <row r="420" spans="1:11" ht="15.75" thickBot="1" x14ac:dyDescent="0.25">
      <c r="A420" s="178"/>
      <c r="B420" s="179"/>
      <c r="C420" s="180"/>
      <c r="D420" s="181"/>
      <c r="E420" s="182"/>
      <c r="F420" s="182"/>
      <c r="G420" s="182"/>
      <c r="H420" s="182"/>
      <c r="I420" s="182"/>
      <c r="J420" s="182"/>
      <c r="K420" s="200"/>
    </row>
    <row r="421" spans="1:11" ht="15.75" thickTop="1" x14ac:dyDescent="0.2">
      <c r="A421" s="53"/>
      <c r="B421" s="53"/>
      <c r="C421" s="54"/>
      <c r="D421" s="54"/>
      <c r="E421" s="51"/>
      <c r="F421" s="51"/>
      <c r="G421" s="51"/>
      <c r="H421" s="51"/>
      <c r="I421" s="51"/>
      <c r="J421" s="51"/>
      <c r="K421" s="51"/>
    </row>
    <row r="422" spans="1:11" x14ac:dyDescent="0.2">
      <c r="A422" s="53"/>
      <c r="B422" s="53"/>
      <c r="C422" s="54"/>
      <c r="D422" s="54"/>
      <c r="E422" s="51"/>
      <c r="F422" s="51"/>
      <c r="G422" s="51"/>
      <c r="H422" s="51"/>
      <c r="I422" s="51"/>
      <c r="J422" s="51"/>
      <c r="K422" s="51"/>
    </row>
    <row r="423" spans="1:11" x14ac:dyDescent="0.2">
      <c r="A423" s="53"/>
      <c r="B423" s="53"/>
      <c r="C423" s="54"/>
      <c r="D423" s="54"/>
      <c r="E423" s="51"/>
      <c r="F423" s="51"/>
      <c r="G423" s="51"/>
      <c r="H423" s="51"/>
      <c r="I423" s="51"/>
      <c r="J423" s="51"/>
      <c r="K423" s="51"/>
    </row>
    <row r="424" spans="1:11" ht="23.25" x14ac:dyDescent="0.35">
      <c r="A424" s="201"/>
      <c r="B424" s="237" t="s">
        <v>791</v>
      </c>
      <c r="C424" s="239" t="s">
        <v>792</v>
      </c>
      <c r="D424" s="262" t="s">
        <v>844</v>
      </c>
      <c r="E424" s="238"/>
      <c r="F424" s="263"/>
      <c r="G424" s="263"/>
      <c r="H424" s="263"/>
      <c r="I424" s="9"/>
      <c r="J424" s="9"/>
      <c r="K424" s="9"/>
    </row>
    <row r="425" spans="1:11" x14ac:dyDescent="0.2">
      <c r="A425" s="53"/>
      <c r="B425" s="53"/>
      <c r="C425" s="54"/>
      <c r="D425" s="54"/>
      <c r="E425" s="51"/>
      <c r="F425" s="51"/>
      <c r="G425" s="51"/>
      <c r="H425" s="51"/>
      <c r="I425" s="51"/>
      <c r="J425" s="51"/>
      <c r="K425" s="51"/>
    </row>
    <row r="426" spans="1:11" ht="16.5" thickBot="1" x14ac:dyDescent="0.3">
      <c r="A426" s="305"/>
      <c r="B426" s="305"/>
      <c r="C426" s="346"/>
      <c r="D426" s="346"/>
      <c r="E426" s="241"/>
      <c r="F426" s="241"/>
      <c r="G426" s="241"/>
      <c r="H426" s="241"/>
      <c r="I426" s="55" t="s">
        <v>208</v>
      </c>
      <c r="J426" s="55"/>
      <c r="K426" s="241"/>
    </row>
    <row r="427" spans="1:11" ht="16.5" thickTop="1" x14ac:dyDescent="0.25">
      <c r="A427" s="306"/>
      <c r="B427" s="317"/>
      <c r="C427" s="347"/>
      <c r="D427" s="373"/>
      <c r="E427" s="334"/>
      <c r="F427" s="335"/>
      <c r="G427" s="335"/>
      <c r="H427" s="335"/>
      <c r="I427" s="335"/>
      <c r="J427" s="339"/>
      <c r="K427" s="276"/>
    </row>
    <row r="428" spans="1:11" ht="20.25" x14ac:dyDescent="0.3">
      <c r="A428" s="307"/>
      <c r="B428" s="242"/>
      <c r="C428" s="345"/>
      <c r="D428" s="374"/>
      <c r="E428" s="336"/>
      <c r="F428" s="337"/>
      <c r="G428" s="337"/>
      <c r="H428" s="337"/>
      <c r="I428" s="337"/>
      <c r="J428" s="340"/>
      <c r="K428" s="277" t="s">
        <v>209</v>
      </c>
    </row>
    <row r="429" spans="1:11" ht="15.75" x14ac:dyDescent="0.25">
      <c r="A429" s="307"/>
      <c r="B429" s="242"/>
      <c r="C429" s="345"/>
      <c r="D429" s="374"/>
      <c r="E429" s="278"/>
      <c r="F429" s="279"/>
      <c r="G429" s="280"/>
      <c r="H429" s="281"/>
      <c r="I429" s="282" t="s">
        <v>210</v>
      </c>
      <c r="J429" s="282" t="s">
        <v>211</v>
      </c>
      <c r="K429" s="277" t="s">
        <v>212</v>
      </c>
    </row>
    <row r="430" spans="1:11" ht="15.75" x14ac:dyDescent="0.25">
      <c r="A430" s="329" t="s">
        <v>213</v>
      </c>
      <c r="B430" s="242"/>
      <c r="C430" s="345"/>
      <c r="D430" s="374"/>
      <c r="E430" s="283" t="s">
        <v>214</v>
      </c>
      <c r="F430" s="284" t="s">
        <v>215</v>
      </c>
      <c r="G430" s="288" t="s">
        <v>216</v>
      </c>
      <c r="H430" s="289" t="s">
        <v>217</v>
      </c>
      <c r="I430" s="285" t="s">
        <v>218</v>
      </c>
      <c r="J430" s="285" t="s">
        <v>219</v>
      </c>
      <c r="K430" s="277" t="s">
        <v>220</v>
      </c>
    </row>
    <row r="431" spans="1:11" ht="15.75" x14ac:dyDescent="0.25">
      <c r="A431" s="307"/>
      <c r="B431" s="242"/>
      <c r="C431" s="345"/>
      <c r="D431" s="374"/>
      <c r="E431" s="283" t="s">
        <v>221</v>
      </c>
      <c r="F431" s="284" t="s">
        <v>222</v>
      </c>
      <c r="G431" s="288"/>
      <c r="H431" s="289"/>
      <c r="I431" s="294" t="s">
        <v>223</v>
      </c>
      <c r="J431" s="285" t="s">
        <v>224</v>
      </c>
      <c r="K431" s="277" t="s">
        <v>225</v>
      </c>
    </row>
    <row r="432" spans="1:11" ht="16.5" thickBot="1" x14ac:dyDescent="0.3">
      <c r="A432" s="308"/>
      <c r="B432" s="243"/>
      <c r="C432" s="346"/>
      <c r="D432" s="375"/>
      <c r="E432" s="290"/>
      <c r="F432" s="291"/>
      <c r="G432" s="292"/>
      <c r="H432" s="293"/>
      <c r="I432" s="295" t="s">
        <v>226</v>
      </c>
      <c r="J432" s="286"/>
      <c r="K432" s="287" t="s">
        <v>228</v>
      </c>
    </row>
    <row r="433" spans="1:11" ht="15.75" thickTop="1" x14ac:dyDescent="0.2">
      <c r="A433" s="57"/>
      <c r="B433" s="58"/>
      <c r="C433" s="59"/>
      <c r="D433" s="60"/>
      <c r="E433" s="260" t="s">
        <v>229</v>
      </c>
      <c r="F433" s="260" t="s">
        <v>230</v>
      </c>
      <c r="G433" s="260" t="s">
        <v>231</v>
      </c>
      <c r="H433" s="260" t="s">
        <v>232</v>
      </c>
      <c r="I433" s="260" t="s">
        <v>233</v>
      </c>
      <c r="J433" s="260" t="s">
        <v>234</v>
      </c>
      <c r="K433" s="272"/>
    </row>
    <row r="434" spans="1:11" ht="15.75" x14ac:dyDescent="0.25">
      <c r="A434" s="69"/>
      <c r="B434" s="70" t="s">
        <v>830</v>
      </c>
      <c r="C434" s="77" t="s">
        <v>730</v>
      </c>
      <c r="D434" s="142"/>
      <c r="E434" s="73">
        <f>+E436+E445</f>
        <v>485142348</v>
      </c>
      <c r="F434" s="73">
        <f>F436+F445</f>
        <v>4081673</v>
      </c>
      <c r="G434" s="73">
        <f>G436+G445</f>
        <v>0</v>
      </c>
      <c r="H434" s="73">
        <f>H436+H445</f>
        <v>-15773762</v>
      </c>
      <c r="I434" s="73">
        <v>0</v>
      </c>
      <c r="J434" s="199">
        <f>E434+F434+G434+H434</f>
        <v>473450259</v>
      </c>
      <c r="K434" s="197" t="e">
        <f>J434/J$184*100</f>
        <v>#REF!</v>
      </c>
    </row>
    <row r="435" spans="1:11" x14ac:dyDescent="0.2">
      <c r="A435" s="82"/>
      <c r="B435" s="94"/>
      <c r="C435" s="95"/>
      <c r="D435" s="145"/>
      <c r="E435" s="34"/>
      <c r="F435" s="34"/>
      <c r="G435" s="34"/>
      <c r="H435" s="34"/>
      <c r="I435" s="34"/>
      <c r="J435" s="34"/>
      <c r="K435" s="105"/>
    </row>
    <row r="436" spans="1:11" x14ac:dyDescent="0.2">
      <c r="A436" s="99">
        <v>500</v>
      </c>
      <c r="B436" s="100"/>
      <c r="C436" s="101" t="s">
        <v>732</v>
      </c>
      <c r="D436" s="149"/>
      <c r="E436" s="259">
        <v>485142348</v>
      </c>
      <c r="F436" s="259">
        <v>4081673</v>
      </c>
      <c r="G436" s="259">
        <f>+G438+G439+G440+G441+G443</f>
        <v>0</v>
      </c>
      <c r="H436" s="259">
        <f>+H438+H439+H440+H441+H443</f>
        <v>-15773762</v>
      </c>
      <c r="I436" s="259">
        <f>+I438+I439+I440+I441+I443</f>
        <v>0</v>
      </c>
      <c r="J436" s="259">
        <f>+E436+F436+G436+H436-I436</f>
        <v>473450259</v>
      </c>
      <c r="K436" s="103"/>
    </row>
    <row r="437" spans="1:11" x14ac:dyDescent="0.2">
      <c r="A437" s="82"/>
      <c r="B437" s="94"/>
      <c r="C437" s="95"/>
      <c r="D437" s="145"/>
      <c r="E437" s="203"/>
      <c r="F437" s="34"/>
      <c r="G437" s="34"/>
      <c r="H437" s="34"/>
      <c r="I437" s="34"/>
      <c r="J437" s="203"/>
      <c r="K437" s="105"/>
    </row>
    <row r="438" spans="1:11" x14ac:dyDescent="0.2">
      <c r="A438" s="99">
        <v>5000</v>
      </c>
      <c r="B438" s="100"/>
      <c r="C438" s="101" t="s">
        <v>734</v>
      </c>
      <c r="D438" s="149"/>
      <c r="E438" s="202"/>
      <c r="F438" s="202"/>
      <c r="G438" s="202"/>
      <c r="H438" s="202"/>
      <c r="I438" s="202"/>
      <c r="J438" s="202"/>
      <c r="K438" s="103"/>
    </row>
    <row r="439" spans="1:11" x14ac:dyDescent="0.2">
      <c r="A439" s="99">
        <v>5001</v>
      </c>
      <c r="B439" s="100"/>
      <c r="C439" s="101" t="s">
        <v>736</v>
      </c>
      <c r="D439" s="149"/>
      <c r="E439" s="202"/>
      <c r="F439" s="202"/>
      <c r="G439" s="202"/>
      <c r="H439" s="202">
        <v>-15773762</v>
      </c>
      <c r="I439" s="202"/>
      <c r="J439" s="202"/>
      <c r="K439" s="103"/>
    </row>
    <row r="440" spans="1:11" x14ac:dyDescent="0.2">
      <c r="A440" s="99">
        <v>5002</v>
      </c>
      <c r="B440" s="100"/>
      <c r="C440" s="101" t="s">
        <v>738</v>
      </c>
      <c r="D440" s="149"/>
      <c r="E440" s="202"/>
      <c r="F440" s="202"/>
      <c r="G440" s="202"/>
      <c r="H440" s="202"/>
      <c r="I440" s="202"/>
      <c r="J440" s="202"/>
      <c r="K440" s="103"/>
    </row>
    <row r="441" spans="1:11" x14ac:dyDescent="0.2">
      <c r="A441" s="99">
        <v>5003</v>
      </c>
      <c r="B441" s="100"/>
      <c r="C441" s="101" t="s">
        <v>740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106">
        <v>500301</v>
      </c>
      <c r="B442" s="107"/>
      <c r="C442" s="108" t="s">
        <v>742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5004</v>
      </c>
      <c r="B443" s="100"/>
      <c r="C443" s="101" t="s">
        <v>744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82"/>
      <c r="B444" s="94"/>
      <c r="C444" s="95"/>
      <c r="D444" s="145"/>
      <c r="E444" s="203"/>
      <c r="F444" s="34"/>
      <c r="G444" s="34"/>
      <c r="H444" s="34"/>
      <c r="I444" s="34"/>
      <c r="J444" s="203"/>
      <c r="K444" s="105"/>
    </row>
    <row r="445" spans="1:11" x14ac:dyDescent="0.2">
      <c r="A445" s="99">
        <v>501</v>
      </c>
      <c r="B445" s="100"/>
      <c r="C445" s="101" t="s">
        <v>746</v>
      </c>
      <c r="D445" s="149"/>
      <c r="E445" s="259">
        <f>+E447+E448+E449+E450+E451</f>
        <v>0</v>
      </c>
      <c r="F445" s="259">
        <f>+F447+F448+F449+F450+F451</f>
        <v>0</v>
      </c>
      <c r="G445" s="259">
        <f>+G447+G448+G449+G450+G451</f>
        <v>0</v>
      </c>
      <c r="H445" s="259">
        <f>+H447+H448+H449+H450+H451</f>
        <v>0</v>
      </c>
      <c r="I445" s="259">
        <f>+I447+I448+I449+I450+I451</f>
        <v>0</v>
      </c>
      <c r="J445" s="259">
        <f>+E445+F445+G445+H445-I445</f>
        <v>0</v>
      </c>
      <c r="K445" s="103"/>
    </row>
    <row r="446" spans="1:11" x14ac:dyDescent="0.2">
      <c r="A446" s="82"/>
      <c r="B446" s="94"/>
      <c r="C446" s="95"/>
      <c r="D446" s="145"/>
      <c r="E446" s="86"/>
      <c r="F446" s="34"/>
      <c r="G446" s="34"/>
      <c r="H446" s="34"/>
      <c r="I446" s="34"/>
      <c r="J446" s="34"/>
      <c r="K446" s="105"/>
    </row>
    <row r="447" spans="1:11" x14ac:dyDescent="0.2">
      <c r="A447" s="99">
        <v>5010</v>
      </c>
      <c r="B447" s="100"/>
      <c r="C447" s="101" t="s">
        <v>748</v>
      </c>
      <c r="D447" s="149"/>
      <c r="E447" s="202"/>
      <c r="F447" s="202"/>
      <c r="G447" s="202"/>
      <c r="H447" s="202"/>
      <c r="I447" s="202"/>
      <c r="J447" s="202"/>
      <c r="K447" s="103"/>
    </row>
    <row r="448" spans="1:11" x14ac:dyDescent="0.2">
      <c r="A448" s="99">
        <v>5011</v>
      </c>
      <c r="B448" s="100"/>
      <c r="C448" s="101" t="s">
        <v>750</v>
      </c>
      <c r="D448" s="149"/>
      <c r="E448" s="202"/>
      <c r="F448" s="202"/>
      <c r="G448" s="202"/>
      <c r="H448" s="202"/>
      <c r="I448" s="202"/>
      <c r="J448" s="202"/>
      <c r="K448" s="103"/>
    </row>
    <row r="449" spans="1:11" x14ac:dyDescent="0.2">
      <c r="A449" s="99">
        <v>5012</v>
      </c>
      <c r="B449" s="100"/>
      <c r="C449" s="101" t="s">
        <v>752</v>
      </c>
      <c r="D449" s="149"/>
      <c r="E449" s="202"/>
      <c r="F449" s="202"/>
      <c r="G449" s="202"/>
      <c r="H449" s="202"/>
      <c r="I449" s="202"/>
      <c r="J449" s="202"/>
      <c r="K449" s="103"/>
    </row>
    <row r="450" spans="1:11" x14ac:dyDescent="0.2">
      <c r="A450" s="99">
        <v>5013</v>
      </c>
      <c r="B450" s="100"/>
      <c r="C450" s="101" t="s">
        <v>754</v>
      </c>
      <c r="D450" s="149"/>
      <c r="E450" s="202"/>
      <c r="F450" s="202"/>
      <c r="G450" s="202"/>
      <c r="H450" s="202"/>
      <c r="I450" s="202"/>
      <c r="J450" s="202"/>
      <c r="K450" s="103"/>
    </row>
    <row r="451" spans="1:11" x14ac:dyDescent="0.2">
      <c r="A451" s="99">
        <v>5014</v>
      </c>
      <c r="B451" s="100"/>
      <c r="C451" s="101" t="s">
        <v>744</v>
      </c>
      <c r="D451" s="149"/>
      <c r="E451" s="202"/>
      <c r="F451" s="202"/>
      <c r="G451" s="202"/>
      <c r="H451" s="202"/>
      <c r="I451" s="202"/>
      <c r="J451" s="202"/>
      <c r="K451" s="103"/>
    </row>
    <row r="452" spans="1:11" ht="15.75" thickBot="1" x14ac:dyDescent="0.25">
      <c r="A452" s="207"/>
      <c r="B452" s="208"/>
      <c r="C452" s="209"/>
      <c r="D452" s="160"/>
      <c r="E452" s="161"/>
      <c r="F452" s="161"/>
      <c r="G452" s="161"/>
      <c r="H452" s="161"/>
      <c r="I452" s="161"/>
      <c r="J452" s="161"/>
      <c r="K452" s="166"/>
    </row>
    <row r="453" spans="1:11" ht="15.75" thickTop="1" x14ac:dyDescent="0.2">
      <c r="A453" s="135"/>
      <c r="B453" s="136"/>
      <c r="C453" s="137"/>
      <c r="D453" s="163"/>
      <c r="E453" s="164"/>
      <c r="F453" s="164"/>
      <c r="G453" s="164"/>
      <c r="H453" s="164"/>
      <c r="I453" s="66"/>
      <c r="J453" s="164"/>
      <c r="K453" s="198"/>
    </row>
    <row r="454" spans="1:11" ht="15.75" x14ac:dyDescent="0.25">
      <c r="A454" s="69"/>
      <c r="B454" s="70" t="s">
        <v>757</v>
      </c>
      <c r="C454" s="77" t="s">
        <v>758</v>
      </c>
      <c r="D454" s="142"/>
      <c r="E454" s="73">
        <f t="shared" ref="E454:J454" si="35">E456+E466</f>
        <v>258481452</v>
      </c>
      <c r="F454" s="73">
        <f t="shared" si="35"/>
        <v>2704174</v>
      </c>
      <c r="G454" s="73">
        <f t="shared" si="35"/>
        <v>5809750</v>
      </c>
      <c r="H454" s="73">
        <f t="shared" si="35"/>
        <v>0</v>
      </c>
      <c r="I454" s="73">
        <f t="shared" si="35"/>
        <v>0</v>
      </c>
      <c r="J454" s="199">
        <f t="shared" si="35"/>
        <v>266995376</v>
      </c>
      <c r="K454" s="197" t="e">
        <f>J454/J$184*100</f>
        <v>#REF!</v>
      </c>
    </row>
    <row r="455" spans="1:11" x14ac:dyDescent="0.2">
      <c r="A455" s="82"/>
      <c r="B455" s="94"/>
      <c r="C455" s="95"/>
      <c r="D455" s="145"/>
      <c r="E455" s="34"/>
      <c r="F455" s="34"/>
      <c r="G455" s="34"/>
      <c r="H455" s="34"/>
      <c r="I455" s="34"/>
      <c r="J455" s="34"/>
      <c r="K455" s="105"/>
    </row>
    <row r="456" spans="1:11" x14ac:dyDescent="0.2">
      <c r="A456" s="99">
        <v>550</v>
      </c>
      <c r="B456" s="100"/>
      <c r="C456" s="101" t="s">
        <v>760</v>
      </c>
      <c r="D456" s="149"/>
      <c r="E456" s="31">
        <f>+E458+E459+E460+E461+E463+E464</f>
        <v>224205424</v>
      </c>
      <c r="F456" s="31">
        <v>2704174</v>
      </c>
      <c r="G456" s="31">
        <f>+G458+G459+G460+G461+G463+G464</f>
        <v>5809750</v>
      </c>
      <c r="H456" s="31">
        <f>+H458+H459+H460+H461+H463+H464</f>
        <v>0</v>
      </c>
      <c r="I456" s="31">
        <f>+I458+I459+I460+I461+I463+I464</f>
        <v>0</v>
      </c>
      <c r="J456" s="31">
        <f>E456+F456+G456+H456-I456</f>
        <v>232719348</v>
      </c>
      <c r="K456" s="103" t="e">
        <f>J456/J$184*100</f>
        <v>#REF!</v>
      </c>
    </row>
    <row r="457" spans="1:11" x14ac:dyDescent="0.2">
      <c r="A457" s="82"/>
      <c r="B457" s="94"/>
      <c r="C457" s="95"/>
      <c r="D457" s="145"/>
      <c r="E457" s="34"/>
      <c r="F457" s="34"/>
      <c r="G457" s="34"/>
      <c r="H457" s="34"/>
      <c r="I457" s="34"/>
      <c r="J457" s="34"/>
      <c r="K457" s="150"/>
    </row>
    <row r="458" spans="1:11" x14ac:dyDescent="0.2">
      <c r="A458" s="99">
        <v>5500</v>
      </c>
      <c r="B458" s="100"/>
      <c r="C458" s="101" t="s">
        <v>762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J458/J$184*100</f>
        <v>#REF!</v>
      </c>
    </row>
    <row r="459" spans="1:11" x14ac:dyDescent="0.2">
      <c r="A459" s="99">
        <v>5501</v>
      </c>
      <c r="B459" s="100"/>
      <c r="C459" s="101" t="s">
        <v>764</v>
      </c>
      <c r="D459" s="149"/>
      <c r="E459" s="31">
        <v>24486905</v>
      </c>
      <c r="F459" s="31"/>
      <c r="G459" s="31">
        <v>5809750</v>
      </c>
      <c r="H459" s="31">
        <v>0</v>
      </c>
      <c r="I459" s="31">
        <v>0</v>
      </c>
      <c r="J459" s="31">
        <f>E459+F459+G459+H459</f>
        <v>30296655</v>
      </c>
      <c r="K459" s="103" t="e">
        <f>J459/J$184*100</f>
        <v>#REF!</v>
      </c>
    </row>
    <row r="460" spans="1:11" x14ac:dyDescent="0.2">
      <c r="A460" s="99">
        <v>5502</v>
      </c>
      <c r="B460" s="100"/>
      <c r="C460" s="101" t="s">
        <v>766</v>
      </c>
      <c r="D460" s="149"/>
      <c r="E460" s="31"/>
      <c r="F460" s="31"/>
      <c r="G460" s="31">
        <v>0</v>
      </c>
      <c r="H460" s="31">
        <v>0</v>
      </c>
      <c r="I460" s="31">
        <v>0</v>
      </c>
      <c r="J460" s="31">
        <f>E460+F460+G460+H460</f>
        <v>0</v>
      </c>
      <c r="K460" s="103" t="e">
        <f>J460/J$184*100</f>
        <v>#REF!</v>
      </c>
    </row>
    <row r="461" spans="1:11" x14ac:dyDescent="0.2">
      <c r="A461" s="99">
        <v>5503</v>
      </c>
      <c r="B461" s="100"/>
      <c r="C461" s="101" t="s">
        <v>772</v>
      </c>
      <c r="D461" s="149"/>
      <c r="E461" s="31"/>
      <c r="F461" s="31"/>
      <c r="G461" s="31">
        <v>0</v>
      </c>
      <c r="H461" s="31">
        <v>0</v>
      </c>
      <c r="I461" s="31">
        <v>0</v>
      </c>
      <c r="J461" s="31">
        <f>E461+F461+G461+H461</f>
        <v>0</v>
      </c>
      <c r="K461" s="103" t="e">
        <f>J461/J$184*100</f>
        <v>#REF!</v>
      </c>
    </row>
    <row r="462" spans="1:11" x14ac:dyDescent="0.2">
      <c r="A462" s="210"/>
      <c r="B462" s="107"/>
      <c r="C462" s="154" t="s">
        <v>831</v>
      </c>
      <c r="D462" s="153"/>
      <c r="E462" s="109">
        <v>0</v>
      </c>
      <c r="F462" s="109">
        <v>0</v>
      </c>
      <c r="G462" s="109">
        <v>0</v>
      </c>
      <c r="H462" s="109">
        <v>0</v>
      </c>
      <c r="I462" s="109"/>
      <c r="J462" s="109">
        <v>0</v>
      </c>
      <c r="K462" s="103"/>
    </row>
    <row r="463" spans="1:11" x14ac:dyDescent="0.2">
      <c r="A463" s="106">
        <v>5505</v>
      </c>
      <c r="B463" s="107"/>
      <c r="C463" s="108" t="s">
        <v>802</v>
      </c>
      <c r="D463" s="153"/>
      <c r="E463" s="109">
        <f>H375</f>
        <v>0</v>
      </c>
      <c r="F463" s="109">
        <v>0</v>
      </c>
      <c r="G463" s="109">
        <v>0</v>
      </c>
      <c r="H463" s="109">
        <v>0</v>
      </c>
      <c r="I463" s="109">
        <f>+E463</f>
        <v>0</v>
      </c>
      <c r="J463" s="109">
        <f>E463+F463+G463+H463-I463</f>
        <v>0</v>
      </c>
      <c r="K463" s="103"/>
    </row>
    <row r="464" spans="1:11" x14ac:dyDescent="0.2">
      <c r="A464" s="99">
        <v>5504</v>
      </c>
      <c r="B464" s="100"/>
      <c r="C464" s="101" t="s">
        <v>775</v>
      </c>
      <c r="D464" s="149"/>
      <c r="E464" s="31">
        <v>199718519</v>
      </c>
      <c r="F464" s="31"/>
      <c r="G464" s="31">
        <v>0</v>
      </c>
      <c r="H464" s="31">
        <v>0</v>
      </c>
      <c r="I464" s="31">
        <v>0</v>
      </c>
      <c r="J464" s="31">
        <f>E464+F464+G464+H464</f>
        <v>199718519</v>
      </c>
      <c r="K464" s="103" t="e">
        <f>J464/J$184*100</f>
        <v>#REF!</v>
      </c>
    </row>
    <row r="465" spans="1:11" x14ac:dyDescent="0.2">
      <c r="A465" s="82"/>
      <c r="B465" s="94"/>
      <c r="C465" s="95"/>
      <c r="D465" s="145"/>
      <c r="E465" s="34"/>
      <c r="F465" s="34"/>
      <c r="G465" s="34"/>
      <c r="H465" s="34"/>
      <c r="I465" s="34"/>
      <c r="J465" s="34"/>
      <c r="K465" s="105"/>
    </row>
    <row r="466" spans="1:11" x14ac:dyDescent="0.2">
      <c r="A466" s="99">
        <v>551</v>
      </c>
      <c r="B466" s="100"/>
      <c r="C466" s="101" t="s">
        <v>777</v>
      </c>
      <c r="D466" s="149"/>
      <c r="E466" s="31">
        <f>SUM(E468:E472)</f>
        <v>34276028</v>
      </c>
      <c r="F466" s="31">
        <f>SUM(F468:F472)</f>
        <v>0</v>
      </c>
      <c r="G466" s="31">
        <f>SUM(G468:G472)</f>
        <v>0</v>
      </c>
      <c r="H466" s="31">
        <f>SUM(H468:H472)</f>
        <v>0</v>
      </c>
      <c r="I466" s="31">
        <f>SUM(I468:I471)</f>
        <v>0</v>
      </c>
      <c r="J466" s="31">
        <f>E466+F466+G466+H466</f>
        <v>34276028</v>
      </c>
      <c r="K466" s="103" t="e">
        <f>J466/J$184*100</f>
        <v>#REF!</v>
      </c>
    </row>
    <row r="467" spans="1:11" x14ac:dyDescent="0.2">
      <c r="A467" s="82"/>
      <c r="B467" s="94"/>
      <c r="C467" s="95"/>
      <c r="D467" s="145"/>
      <c r="E467" s="34"/>
      <c r="F467" s="34"/>
      <c r="G467" s="34"/>
      <c r="H467" s="34"/>
      <c r="I467" s="34"/>
      <c r="J467" s="34"/>
      <c r="K467" s="150"/>
    </row>
    <row r="468" spans="1:11" x14ac:dyDescent="0.2">
      <c r="A468" s="99">
        <v>5510</v>
      </c>
      <c r="B468" s="100"/>
      <c r="C468" s="101" t="s">
        <v>779</v>
      </c>
      <c r="D468" s="149"/>
      <c r="E468" s="31">
        <v>7498671</v>
      </c>
      <c r="F468" s="31">
        <v>0</v>
      </c>
      <c r="G468" s="31">
        <v>0</v>
      </c>
      <c r="H468" s="31">
        <v>0</v>
      </c>
      <c r="I468" s="31">
        <v>0</v>
      </c>
      <c r="J468" s="31">
        <f>E468+F468+G468+H468</f>
        <v>7498671</v>
      </c>
      <c r="K468" s="103" t="e">
        <f>J468/J$184*100</f>
        <v>#REF!</v>
      </c>
    </row>
    <row r="469" spans="1:11" x14ac:dyDescent="0.2">
      <c r="A469" s="99">
        <v>5511</v>
      </c>
      <c r="B469" s="100"/>
      <c r="C469" s="101" t="s">
        <v>781</v>
      </c>
      <c r="D469" s="149"/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f>E469+F469+G469+H469</f>
        <v>0</v>
      </c>
      <c r="K469" s="103" t="e">
        <f>J469/J$184*100</f>
        <v>#REF!</v>
      </c>
    </row>
    <row r="470" spans="1:11" x14ac:dyDescent="0.2">
      <c r="A470" s="99">
        <v>5512</v>
      </c>
      <c r="B470" s="100"/>
      <c r="C470" s="101" t="s">
        <v>783</v>
      </c>
      <c r="D470" s="149"/>
      <c r="E470" s="31">
        <v>22536562</v>
      </c>
      <c r="F470" s="31">
        <v>0</v>
      </c>
      <c r="G470" s="31">
        <v>0</v>
      </c>
      <c r="H470" s="31">
        <v>0</v>
      </c>
      <c r="I470" s="31">
        <v>0</v>
      </c>
      <c r="J470" s="31">
        <f>E470+F470+G470+H470</f>
        <v>22536562</v>
      </c>
      <c r="K470" s="103" t="e">
        <f>J470/J$184*100</f>
        <v>#REF!</v>
      </c>
    </row>
    <row r="471" spans="1:11" x14ac:dyDescent="0.2">
      <c r="A471" s="99">
        <v>5513</v>
      </c>
      <c r="B471" s="100"/>
      <c r="C471" s="101" t="s">
        <v>785</v>
      </c>
      <c r="D471" s="149"/>
      <c r="E471" s="31">
        <v>0</v>
      </c>
      <c r="F471" s="31">
        <v>0</v>
      </c>
      <c r="G471" s="31">
        <v>0</v>
      </c>
      <c r="H471" s="31">
        <v>0</v>
      </c>
      <c r="I471" s="31">
        <v>0</v>
      </c>
      <c r="J471" s="31">
        <f>E471+F471+G471+H471</f>
        <v>0</v>
      </c>
      <c r="K471" s="103" t="e">
        <f>J471/J$184*100</f>
        <v>#REF!</v>
      </c>
    </row>
    <row r="472" spans="1:11" x14ac:dyDescent="0.2">
      <c r="A472" s="99">
        <v>5514</v>
      </c>
      <c r="B472" s="100"/>
      <c r="C472" s="101" t="s">
        <v>836</v>
      </c>
      <c r="D472" s="149"/>
      <c r="E472" s="31">
        <v>4240795</v>
      </c>
      <c r="F472" s="31">
        <v>0</v>
      </c>
      <c r="G472" s="31">
        <v>0</v>
      </c>
      <c r="H472" s="31">
        <v>0</v>
      </c>
      <c r="I472" s="31">
        <v>0</v>
      </c>
      <c r="J472" s="31">
        <f>E472+F472+G472+H472</f>
        <v>4240795</v>
      </c>
      <c r="K472" s="103" t="e">
        <f>J472/J$184*100</f>
        <v>#REF!</v>
      </c>
    </row>
    <row r="473" spans="1:11" ht="15.75" thickBot="1" x14ac:dyDescent="0.25">
      <c r="A473" s="120"/>
      <c r="B473" s="121"/>
      <c r="C473" s="122"/>
      <c r="D473" s="160"/>
      <c r="E473" s="161"/>
      <c r="F473" s="161"/>
      <c r="G473" s="161"/>
      <c r="H473" s="161"/>
      <c r="I473" s="161"/>
      <c r="J473" s="161"/>
      <c r="K473" s="162"/>
    </row>
    <row r="474" spans="1:11" ht="16.5" thickTop="1" x14ac:dyDescent="0.25">
      <c r="A474" s="211"/>
      <c r="B474" s="212" t="s">
        <v>803</v>
      </c>
      <c r="C474" s="213" t="s">
        <v>789</v>
      </c>
      <c r="D474" s="214"/>
      <c r="E474" s="215"/>
      <c r="F474" s="215"/>
      <c r="G474" s="215"/>
      <c r="H474" s="215"/>
      <c r="I474" s="215"/>
      <c r="J474" s="215"/>
      <c r="K474" s="216"/>
    </row>
    <row r="475" spans="1:11" ht="16.5" thickBot="1" x14ac:dyDescent="0.3">
      <c r="A475" s="217"/>
      <c r="B475" s="218"/>
      <c r="C475" s="219" t="s">
        <v>804</v>
      </c>
      <c r="D475" s="220"/>
      <c r="E475" s="221">
        <f t="shared" ref="E475:J475" si="36">E22+E367+E434-E187-E389-E454</f>
        <v>4111607</v>
      </c>
      <c r="F475" s="221">
        <f t="shared" si="36"/>
        <v>58544</v>
      </c>
      <c r="G475" s="221">
        <f t="shared" si="36"/>
        <v>635750</v>
      </c>
      <c r="H475" s="221">
        <f t="shared" si="36"/>
        <v>0</v>
      </c>
      <c r="I475" s="221">
        <f t="shared" si="36"/>
        <v>0</v>
      </c>
      <c r="J475" s="222">
        <f t="shared" si="36"/>
        <v>4805901</v>
      </c>
      <c r="K475" s="223" t="e">
        <f>J475/J$184*100</f>
        <v>#REF!</v>
      </c>
    </row>
    <row r="476" spans="1:11" ht="16.5" thickTop="1" x14ac:dyDescent="0.25">
      <c r="A476" s="211"/>
      <c r="B476" s="212"/>
      <c r="C476" s="213"/>
      <c r="D476" s="214"/>
      <c r="E476" s="215"/>
      <c r="F476" s="215"/>
      <c r="G476" s="215"/>
      <c r="H476" s="215"/>
      <c r="I476" s="215"/>
      <c r="J476" s="224"/>
      <c r="K476" s="225"/>
    </row>
    <row r="477" spans="1:11" ht="16.5" thickBot="1" x14ac:dyDescent="0.3">
      <c r="A477" s="226"/>
      <c r="B477" s="227" t="s">
        <v>787</v>
      </c>
      <c r="C477" s="228" t="s">
        <v>805</v>
      </c>
      <c r="D477" s="229"/>
      <c r="E477" s="230">
        <f t="shared" ref="E477:J477" si="37">E417+E434-E454-E475</f>
        <v>232358338</v>
      </c>
      <c r="F477" s="230">
        <f t="shared" si="37"/>
        <v>3389620</v>
      </c>
      <c r="G477" s="230">
        <f t="shared" si="37"/>
        <v>-6375000</v>
      </c>
      <c r="H477" s="230">
        <f t="shared" si="37"/>
        <v>-15773762</v>
      </c>
      <c r="I477" s="230">
        <f t="shared" si="37"/>
        <v>0</v>
      </c>
      <c r="J477" s="231">
        <f t="shared" si="37"/>
        <v>213599196</v>
      </c>
      <c r="K477" s="232" t="e">
        <f>J477/J$184*100</f>
        <v>#REF!</v>
      </c>
    </row>
    <row r="478" spans="1:11" ht="15.75" thickTop="1" x14ac:dyDescent="0.2">
      <c r="A478" s="53"/>
      <c r="B478" s="53"/>
      <c r="C478" s="54"/>
      <c r="D478" s="54"/>
      <c r="E478" s="51"/>
      <c r="F478" s="51"/>
      <c r="G478" s="51"/>
      <c r="H478" s="51"/>
      <c r="I478" s="51"/>
      <c r="J478" s="51"/>
      <c r="K478" s="51"/>
    </row>
  </sheetData>
  <mergeCells count="1">
    <mergeCell ref="I4:K4"/>
  </mergeCells>
  <phoneticPr fontId="0" type="noConversion"/>
  <pageMargins left="0.39" right="0.31" top="0.51" bottom="0.68" header="0.35" footer="0.5"/>
  <pageSetup paperSize="9" scale="56" fitToHeight="0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472"/>
  <sheetViews>
    <sheetView zoomScale="60" workbookViewId="0">
      <selection activeCell="L13" sqref="L13"/>
    </sheetView>
  </sheetViews>
  <sheetFormatPr defaultRowHeight="15" x14ac:dyDescent="0.2"/>
  <cols>
    <col min="1" max="1" width="8.88671875" style="233"/>
    <col min="2" max="2" width="4.6640625" style="234" bestFit="1" customWidth="1"/>
    <col min="3" max="3" width="43.6640625" style="235" customWidth="1"/>
    <col min="4" max="4" width="55" style="235" hidden="1" customWidth="1"/>
    <col min="5" max="5" width="13" bestFit="1" customWidth="1"/>
    <col min="6" max="6" width="11.6640625" bestFit="1" customWidth="1"/>
    <col min="7" max="7" width="12.109375" bestFit="1" customWidth="1"/>
    <col min="8" max="8" width="11.44140625" bestFit="1" customWidth="1"/>
    <col min="9" max="9" width="12.33203125" bestFit="1" customWidth="1"/>
    <col min="10" max="10" width="15.88671875" bestFit="1" customWidth="1"/>
    <col min="11" max="11" width="8.5546875" bestFit="1" customWidth="1"/>
  </cols>
  <sheetData>
    <row r="1" spans="1:1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6.25" x14ac:dyDescent="0.4">
      <c r="A2" s="422" t="s">
        <v>206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1" ht="26.25" x14ac:dyDescent="0.4">
      <c r="A3" s="422" t="s">
        <v>207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</row>
    <row r="4" spans="1:11" ht="26.25" x14ac:dyDescent="0.4">
      <c r="A4" s="422" t="s">
        <v>194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</row>
    <row r="5" spans="1:11" ht="15.75" x14ac:dyDescent="0.25">
      <c r="A5" s="345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26.25" x14ac:dyDescent="0.4">
      <c r="A6" s="422" t="s">
        <v>846</v>
      </c>
      <c r="B6" s="265"/>
      <c r="C6" s="266"/>
      <c r="D6" s="266"/>
      <c r="E6" s="267"/>
      <c r="F6" s="267"/>
      <c r="G6" s="267"/>
      <c r="H6" s="267"/>
      <c r="I6" s="267"/>
      <c r="J6" s="267"/>
      <c r="K6" s="265"/>
    </row>
    <row r="7" spans="1:11" ht="26.25" x14ac:dyDescent="0.4">
      <c r="A7" s="422" t="s">
        <v>863</v>
      </c>
      <c r="B7" s="265"/>
      <c r="C7" s="265"/>
      <c r="D7" s="265"/>
      <c r="E7" s="265"/>
      <c r="F7" s="265"/>
      <c r="G7" s="265"/>
      <c r="H7" s="265"/>
      <c r="I7" s="265"/>
      <c r="J7" s="265"/>
      <c r="K7" s="265"/>
    </row>
    <row r="8" spans="1:11" ht="26.25" x14ac:dyDescent="0.4">
      <c r="A8" s="422" t="s">
        <v>847</v>
      </c>
      <c r="B8" s="265"/>
      <c r="C8" s="265"/>
      <c r="D8" s="265"/>
      <c r="E8" s="268"/>
      <c r="F8" s="268"/>
      <c r="G8" s="268"/>
      <c r="H8" s="268"/>
      <c r="I8" s="268"/>
      <c r="J8" s="268"/>
      <c r="K8" s="268"/>
    </row>
    <row r="9" spans="1:11" ht="26.25" x14ac:dyDescent="0.4">
      <c r="A9" s="422"/>
      <c r="B9" s="265"/>
      <c r="C9" s="265"/>
      <c r="D9" s="265"/>
      <c r="E9" s="268"/>
      <c r="F9" s="268"/>
      <c r="G9" s="268"/>
      <c r="H9" s="268"/>
      <c r="I9" s="268"/>
      <c r="J9" s="268"/>
      <c r="K9" s="268"/>
    </row>
    <row r="10" spans="1:11" ht="15.75" x14ac:dyDescent="0.25">
      <c r="A10" s="304"/>
      <c r="B10" s="52"/>
      <c r="C10" s="12"/>
      <c r="D10" s="12"/>
      <c r="E10" s="10"/>
      <c r="F10" s="10"/>
      <c r="G10" s="10"/>
      <c r="H10" s="10"/>
      <c r="I10" s="10"/>
      <c r="J10" s="10"/>
      <c r="K10" s="10"/>
    </row>
    <row r="11" spans="1:11" ht="23.25" x14ac:dyDescent="0.35">
      <c r="A11" s="201"/>
      <c r="B11" s="316" t="s">
        <v>793</v>
      </c>
      <c r="C11" s="262" t="s">
        <v>794</v>
      </c>
      <c r="D11" s="262" t="s">
        <v>838</v>
      </c>
      <c r="E11" s="264"/>
      <c r="F11" s="264"/>
      <c r="G11" s="264"/>
      <c r="H11" s="263"/>
      <c r="I11" s="9"/>
      <c r="J11" s="9"/>
      <c r="K11" s="9"/>
    </row>
    <row r="12" spans="1:11" ht="15.75" x14ac:dyDescent="0.25">
      <c r="A12" s="304"/>
      <c r="B12" s="304"/>
      <c r="C12" s="345"/>
      <c r="D12" s="345"/>
      <c r="E12" s="10"/>
      <c r="F12" s="10"/>
      <c r="G12" s="10"/>
      <c r="H12" s="10"/>
      <c r="I12" s="10"/>
      <c r="J12" s="10"/>
      <c r="K12" s="10"/>
    </row>
    <row r="13" spans="1:11" ht="16.5" thickBot="1" x14ac:dyDescent="0.3">
      <c r="A13" s="305"/>
      <c r="B13" s="305"/>
      <c r="C13" s="346"/>
      <c r="D13" s="346"/>
      <c r="E13" s="241"/>
      <c r="F13" s="241"/>
      <c r="G13" s="241"/>
      <c r="H13" s="241"/>
      <c r="I13" s="55" t="s">
        <v>208</v>
      </c>
      <c r="J13" s="55"/>
      <c r="K13" s="241"/>
    </row>
    <row r="14" spans="1:11" ht="16.5" thickTop="1" x14ac:dyDescent="0.25">
      <c r="A14" s="306"/>
      <c r="B14" s="317"/>
      <c r="C14" s="347"/>
      <c r="D14" s="373"/>
      <c r="E14" s="334"/>
      <c r="F14" s="335"/>
      <c r="G14" s="335"/>
      <c r="H14" s="335"/>
      <c r="I14" s="335"/>
      <c r="J14" s="339"/>
      <c r="K14" s="276"/>
    </row>
    <row r="15" spans="1:11" ht="20.25" x14ac:dyDescent="0.3">
      <c r="A15" s="307"/>
      <c r="B15" s="242"/>
      <c r="C15" s="345"/>
      <c r="D15" s="374"/>
      <c r="E15" s="336"/>
      <c r="F15" s="337"/>
      <c r="G15" s="337"/>
      <c r="H15" s="337"/>
      <c r="I15" s="337"/>
      <c r="J15" s="340"/>
      <c r="K15" s="277" t="s">
        <v>209</v>
      </c>
    </row>
    <row r="16" spans="1:11" ht="15.75" x14ac:dyDescent="0.25">
      <c r="A16" s="307"/>
      <c r="B16" s="242"/>
      <c r="C16" s="345"/>
      <c r="D16" s="374"/>
      <c r="E16" s="278"/>
      <c r="F16" s="279"/>
      <c r="G16" s="280"/>
      <c r="H16" s="281"/>
      <c r="I16" s="282" t="s">
        <v>210</v>
      </c>
      <c r="J16" s="282" t="s">
        <v>211</v>
      </c>
      <c r="K16" s="277" t="s">
        <v>212</v>
      </c>
    </row>
    <row r="17" spans="1:11" ht="15.75" x14ac:dyDescent="0.25">
      <c r="A17" s="329" t="s">
        <v>213</v>
      </c>
      <c r="B17" s="242"/>
      <c r="C17" s="345"/>
      <c r="D17" s="374"/>
      <c r="E17" s="283" t="s">
        <v>214</v>
      </c>
      <c r="F17" s="284" t="s">
        <v>215</v>
      </c>
      <c r="G17" s="288" t="s">
        <v>216</v>
      </c>
      <c r="H17" s="289" t="s">
        <v>217</v>
      </c>
      <c r="I17" s="285" t="s">
        <v>218</v>
      </c>
      <c r="J17" s="285" t="s">
        <v>219</v>
      </c>
      <c r="K17" s="277" t="s">
        <v>220</v>
      </c>
    </row>
    <row r="18" spans="1:11" ht="15.75" x14ac:dyDescent="0.25">
      <c r="A18" s="307"/>
      <c r="B18" s="242"/>
      <c r="C18" s="345"/>
      <c r="D18" s="374"/>
      <c r="E18" s="283" t="s">
        <v>221</v>
      </c>
      <c r="F18" s="284" t="s">
        <v>222</v>
      </c>
      <c r="G18" s="288"/>
      <c r="H18" s="289"/>
      <c r="I18" s="294" t="s">
        <v>223</v>
      </c>
      <c r="J18" s="285" t="s">
        <v>224</v>
      </c>
      <c r="K18" s="277" t="s">
        <v>225</v>
      </c>
    </row>
    <row r="19" spans="1:11" ht="16.5" thickBot="1" x14ac:dyDescent="0.3">
      <c r="A19" s="308"/>
      <c r="B19" s="243"/>
      <c r="C19" s="346"/>
      <c r="D19" s="375"/>
      <c r="E19" s="290"/>
      <c r="F19" s="291"/>
      <c r="G19" s="292"/>
      <c r="H19" s="293"/>
      <c r="I19" s="295" t="s">
        <v>226</v>
      </c>
      <c r="J19" s="286"/>
      <c r="K19" s="287" t="s">
        <v>228</v>
      </c>
    </row>
    <row r="20" spans="1:11" ht="15.75" thickTop="1" x14ac:dyDescent="0.2">
      <c r="A20" s="57"/>
      <c r="B20" s="58"/>
      <c r="C20" s="59"/>
      <c r="D20" s="60"/>
      <c r="E20" s="260" t="s">
        <v>229</v>
      </c>
      <c r="F20" s="260" t="s">
        <v>230</v>
      </c>
      <c r="G20" s="260" t="s">
        <v>231</v>
      </c>
      <c r="H20" s="260" t="s">
        <v>232</v>
      </c>
      <c r="I20" s="260" t="s">
        <v>233</v>
      </c>
      <c r="J20" s="260" t="s">
        <v>234</v>
      </c>
      <c r="K20" s="272"/>
    </row>
    <row r="21" spans="1:11" ht="15.75" thickBot="1" x14ac:dyDescent="0.25">
      <c r="A21" s="61"/>
      <c r="B21" s="62"/>
      <c r="C21" s="63"/>
      <c r="D21" s="64"/>
      <c r="E21" s="65"/>
      <c r="F21" s="65"/>
      <c r="G21" s="66"/>
      <c r="H21" s="65"/>
      <c r="I21" s="65"/>
      <c r="J21" s="67"/>
      <c r="K21" s="68"/>
    </row>
    <row r="22" spans="1:11" ht="17.25" thickTop="1" thickBot="1" x14ac:dyDescent="0.3">
      <c r="A22" s="69"/>
      <c r="B22" s="70" t="s">
        <v>235</v>
      </c>
      <c r="C22" s="71" t="s">
        <v>236</v>
      </c>
      <c r="D22" s="72" t="s">
        <v>237</v>
      </c>
      <c r="E22" s="73">
        <f>E25+E100+E118+E129+E138</f>
        <v>0</v>
      </c>
      <c r="F22" s="73">
        <f>F25+F100+F118+F129+F138</f>
        <v>0</v>
      </c>
      <c r="G22" s="73">
        <f>G25+G100+G118+G129+G138</f>
        <v>0</v>
      </c>
      <c r="H22" s="73">
        <f>H25+H100+H118+H129+H138</f>
        <v>0</v>
      </c>
      <c r="I22" s="73">
        <f>I25+I100+I118+I129+I138</f>
        <v>0</v>
      </c>
      <c r="J22" s="75">
        <f>E22+F22+G22+H22-I22</f>
        <v>0</v>
      </c>
      <c r="K22" s="76" t="e">
        <f>J22/J$175*100</f>
        <v>#REF!</v>
      </c>
    </row>
    <row r="23" spans="1:11" ht="16.5" thickTop="1" x14ac:dyDescent="0.25">
      <c r="A23" s="69"/>
      <c r="B23" s="70"/>
      <c r="C23" s="77" t="s">
        <v>238</v>
      </c>
      <c r="D23" s="78" t="s">
        <v>238</v>
      </c>
      <c r="E23" s="79"/>
      <c r="F23" s="73"/>
      <c r="G23" s="73"/>
      <c r="H23" s="73"/>
      <c r="I23" s="73"/>
      <c r="J23" s="80"/>
      <c r="K23" s="81"/>
    </row>
    <row r="24" spans="1:11" x14ac:dyDescent="0.2">
      <c r="A24" s="82"/>
      <c r="B24" s="83"/>
      <c r="C24" s="84"/>
      <c r="D24" s="85"/>
      <c r="E24" s="86"/>
      <c r="F24" s="86"/>
      <c r="G24" s="86"/>
      <c r="H24" s="86"/>
      <c r="I24" s="86"/>
      <c r="J24" s="86"/>
      <c r="K24" s="87"/>
    </row>
    <row r="25" spans="1:11" ht="15.75" x14ac:dyDescent="0.25">
      <c r="A25" s="88"/>
      <c r="B25" s="89"/>
      <c r="C25" s="90" t="s">
        <v>239</v>
      </c>
      <c r="D25" s="91" t="s">
        <v>240</v>
      </c>
      <c r="E25" s="32">
        <f t="shared" ref="E25:J25" si="0">E28+E75</f>
        <v>0</v>
      </c>
      <c r="F25" s="32">
        <f t="shared" si="0"/>
        <v>0</v>
      </c>
      <c r="G25" s="32">
        <f t="shared" si="0"/>
        <v>0</v>
      </c>
      <c r="H25" s="32">
        <f t="shared" si="0"/>
        <v>0</v>
      </c>
      <c r="I25" s="32">
        <f t="shared" si="0"/>
        <v>0</v>
      </c>
      <c r="J25" s="32">
        <f t="shared" si="0"/>
        <v>0</v>
      </c>
      <c r="K25" s="92" t="e">
        <f>J25/J$175*100</f>
        <v>#REF!</v>
      </c>
    </row>
    <row r="26" spans="1:11" ht="15.75" x14ac:dyDescent="0.25">
      <c r="A26" s="88"/>
      <c r="B26" s="89"/>
      <c r="C26" s="90" t="s">
        <v>241</v>
      </c>
      <c r="D26" s="91" t="s">
        <v>241</v>
      </c>
      <c r="E26" s="32"/>
      <c r="F26" s="32"/>
      <c r="G26" s="32"/>
      <c r="H26" s="32"/>
      <c r="I26" s="32"/>
      <c r="J26" s="32"/>
      <c r="K26" s="93"/>
    </row>
    <row r="27" spans="1:11" x14ac:dyDescent="0.2">
      <c r="A27" s="82"/>
      <c r="B27" s="94"/>
      <c r="C27" s="95"/>
      <c r="D27" s="85"/>
      <c r="E27" s="86"/>
      <c r="F27" s="86"/>
      <c r="G27" s="86"/>
      <c r="H27" s="86"/>
      <c r="I27" s="86"/>
      <c r="J27" s="86"/>
      <c r="K27" s="87"/>
    </row>
    <row r="28" spans="1:11" ht="15.75" x14ac:dyDescent="0.25">
      <c r="A28" s="88">
        <v>70</v>
      </c>
      <c r="B28" s="89"/>
      <c r="C28" s="90" t="s">
        <v>242</v>
      </c>
      <c r="D28" s="91" t="s">
        <v>243</v>
      </c>
      <c r="E28" s="32">
        <f t="shared" ref="E28:J28" si="1">E31+E36+E42+E46+E52+E63+E72</f>
        <v>0</v>
      </c>
      <c r="F28" s="32">
        <f t="shared" si="1"/>
        <v>0</v>
      </c>
      <c r="G28" s="32">
        <f t="shared" si="1"/>
        <v>0</v>
      </c>
      <c r="H28" s="32">
        <f t="shared" si="1"/>
        <v>0</v>
      </c>
      <c r="I28" s="32">
        <f t="shared" si="1"/>
        <v>0</v>
      </c>
      <c r="J28" s="32">
        <f t="shared" si="1"/>
        <v>0</v>
      </c>
      <c r="K28" s="92" t="e">
        <f>J28/J$175*100</f>
        <v>#REF!</v>
      </c>
    </row>
    <row r="29" spans="1:11" ht="15.75" x14ac:dyDescent="0.25">
      <c r="A29" s="88"/>
      <c r="B29" s="89"/>
      <c r="C29" s="96" t="s">
        <v>244</v>
      </c>
      <c r="D29" s="97" t="s">
        <v>244</v>
      </c>
      <c r="E29" s="86"/>
      <c r="F29" s="86"/>
      <c r="G29" s="86"/>
      <c r="H29" s="86"/>
      <c r="I29" s="86"/>
      <c r="J29" s="86"/>
      <c r="K29" s="87"/>
    </row>
    <row r="30" spans="1:11" x14ac:dyDescent="0.2">
      <c r="A30" s="82"/>
      <c r="B30" s="94"/>
      <c r="C30" s="95"/>
      <c r="D30" s="98"/>
      <c r="E30" s="86"/>
      <c r="F30" s="86"/>
      <c r="G30" s="86"/>
      <c r="H30" s="86"/>
      <c r="I30" s="86"/>
      <c r="J30" s="86"/>
      <c r="K30" s="87"/>
    </row>
    <row r="31" spans="1:11" x14ac:dyDescent="0.2">
      <c r="A31" s="99">
        <v>700</v>
      </c>
      <c r="B31" s="100"/>
      <c r="C31" s="101" t="s">
        <v>245</v>
      </c>
      <c r="D31" s="102" t="s">
        <v>246</v>
      </c>
      <c r="E31" s="31">
        <f t="shared" ref="E31:J31" si="2">E32+E33+E34</f>
        <v>0</v>
      </c>
      <c r="F31" s="31">
        <f t="shared" si="2"/>
        <v>0</v>
      </c>
      <c r="G31" s="31">
        <f t="shared" si="2"/>
        <v>0</v>
      </c>
      <c r="H31" s="31">
        <f t="shared" si="2"/>
        <v>0</v>
      </c>
      <c r="I31" s="31">
        <v>0</v>
      </c>
      <c r="J31" s="31">
        <f t="shared" si="2"/>
        <v>0</v>
      </c>
      <c r="K31" s="103" t="e">
        <f>J31/J$175*100</f>
        <v>#REF!</v>
      </c>
    </row>
    <row r="32" spans="1:11" x14ac:dyDescent="0.2">
      <c r="A32" s="99">
        <v>7000</v>
      </c>
      <c r="B32" s="100"/>
      <c r="C32" s="101" t="s">
        <v>247</v>
      </c>
      <c r="D32" s="102" t="s">
        <v>248</v>
      </c>
      <c r="E32" s="31"/>
      <c r="F32" s="31"/>
      <c r="G32" s="31">
        <v>0</v>
      </c>
      <c r="H32" s="31">
        <v>0</v>
      </c>
      <c r="I32" s="31"/>
      <c r="J32" s="31">
        <f>E32+F32+G32+H32</f>
        <v>0</v>
      </c>
      <c r="K32" s="103" t="e">
        <f>J32/J$175*100</f>
        <v>#REF!</v>
      </c>
    </row>
    <row r="33" spans="1:11" x14ac:dyDescent="0.2">
      <c r="A33" s="99">
        <v>7001</v>
      </c>
      <c r="B33" s="100"/>
      <c r="C33" s="101" t="s">
        <v>249</v>
      </c>
      <c r="D33" s="102" t="s">
        <v>250</v>
      </c>
      <c r="E33" s="31"/>
      <c r="F33" s="31">
        <v>0</v>
      </c>
      <c r="G33" s="31">
        <v>0</v>
      </c>
      <c r="H33" s="31">
        <v>0</v>
      </c>
      <c r="I33" s="31"/>
      <c r="J33" s="31">
        <f>E33+F33+G33+H33</f>
        <v>0</v>
      </c>
      <c r="K33" s="103" t="e">
        <f>J33/J$175*100</f>
        <v>#REF!</v>
      </c>
    </row>
    <row r="34" spans="1:11" x14ac:dyDescent="0.2">
      <c r="A34" s="99">
        <v>7002</v>
      </c>
      <c r="B34" s="100"/>
      <c r="C34" s="101" t="s">
        <v>251</v>
      </c>
      <c r="D34" s="102" t="s">
        <v>252</v>
      </c>
      <c r="E34" s="31">
        <v>0</v>
      </c>
      <c r="F34" s="31">
        <v>0</v>
      </c>
      <c r="G34" s="31">
        <v>0</v>
      </c>
      <c r="H34" s="31">
        <v>0</v>
      </c>
      <c r="I34" s="31"/>
      <c r="J34" s="31">
        <f>E34+F34+G34+H34</f>
        <v>0</v>
      </c>
      <c r="K34" s="104"/>
    </row>
    <row r="35" spans="1:11" x14ac:dyDescent="0.2">
      <c r="A35" s="82"/>
      <c r="B35" s="94"/>
      <c r="C35" s="95"/>
      <c r="D35" s="98"/>
      <c r="E35" s="34"/>
      <c r="F35" s="34"/>
      <c r="G35" s="34"/>
      <c r="H35" s="34"/>
      <c r="I35" s="34"/>
      <c r="J35" s="34"/>
      <c r="K35" s="105"/>
    </row>
    <row r="36" spans="1:11" x14ac:dyDescent="0.2">
      <c r="A36" s="99">
        <v>701</v>
      </c>
      <c r="B36" s="100"/>
      <c r="C36" s="101" t="s">
        <v>253</v>
      </c>
      <c r="D36" s="102" t="s">
        <v>254</v>
      </c>
      <c r="E36" s="31">
        <f t="shared" ref="E36:J36" si="3">SUM(E37:E40)</f>
        <v>0</v>
      </c>
      <c r="F36" s="31">
        <f t="shared" si="3"/>
        <v>0</v>
      </c>
      <c r="G36" s="31">
        <f t="shared" si="3"/>
        <v>0</v>
      </c>
      <c r="H36" s="31">
        <f t="shared" si="3"/>
        <v>0</v>
      </c>
      <c r="I36" s="31">
        <f>+I38</f>
        <v>0</v>
      </c>
      <c r="J36" s="31">
        <f t="shared" si="3"/>
        <v>0</v>
      </c>
      <c r="K36" s="103" t="e">
        <f>J36/J$175*100</f>
        <v>#REF!</v>
      </c>
    </row>
    <row r="37" spans="1:11" x14ac:dyDescent="0.2">
      <c r="A37" s="99">
        <v>7010</v>
      </c>
      <c r="B37" s="100"/>
      <c r="C37" s="101" t="s">
        <v>255</v>
      </c>
      <c r="D37" s="102" t="s">
        <v>256</v>
      </c>
      <c r="E37" s="31"/>
      <c r="F37" s="31">
        <v>0</v>
      </c>
      <c r="G37" s="31"/>
      <c r="H37" s="31"/>
      <c r="I37" s="31"/>
      <c r="J37" s="31">
        <f>E37+F37+G37+H37</f>
        <v>0</v>
      </c>
      <c r="K37" s="103" t="e">
        <f>J37/J$175*100</f>
        <v>#REF!</v>
      </c>
    </row>
    <row r="38" spans="1:11" x14ac:dyDescent="0.2">
      <c r="A38" s="106">
        <v>7011</v>
      </c>
      <c r="B38" s="107"/>
      <c r="C38" s="108" t="s">
        <v>257</v>
      </c>
      <c r="D38" s="102" t="s">
        <v>258</v>
      </c>
      <c r="E38" s="109"/>
      <c r="F38" s="109">
        <v>0</v>
      </c>
      <c r="G38" s="109"/>
      <c r="H38" s="109"/>
      <c r="I38" s="427">
        <f>+I197</f>
        <v>0</v>
      </c>
      <c r="J38" s="109">
        <f>E38+F38+G38+H38-I38</f>
        <v>0</v>
      </c>
      <c r="K38" s="103" t="e">
        <f>J38/J$175*100</f>
        <v>#REF!</v>
      </c>
    </row>
    <row r="39" spans="1:11" x14ac:dyDescent="0.2">
      <c r="A39" s="99">
        <v>7012</v>
      </c>
      <c r="B39" s="100"/>
      <c r="C39" s="101" t="s">
        <v>259</v>
      </c>
      <c r="D39" s="102" t="s">
        <v>260</v>
      </c>
      <c r="E39" s="31"/>
      <c r="F39" s="31">
        <v>0</v>
      </c>
      <c r="G39" s="31"/>
      <c r="H39" s="31"/>
      <c r="I39" s="31"/>
      <c r="J39" s="31">
        <f>E39+F39+G39+H39</f>
        <v>0</v>
      </c>
      <c r="K39" s="103" t="e">
        <f>J39/J$175*100</f>
        <v>#REF!</v>
      </c>
    </row>
    <row r="40" spans="1:11" x14ac:dyDescent="0.2">
      <c r="A40" s="99">
        <v>7013</v>
      </c>
      <c r="B40" s="100"/>
      <c r="C40" s="101" t="s">
        <v>261</v>
      </c>
      <c r="D40" s="102" t="s">
        <v>262</v>
      </c>
      <c r="E40" s="31"/>
      <c r="F40" s="31">
        <v>0</v>
      </c>
      <c r="G40" s="31"/>
      <c r="H40" s="31"/>
      <c r="I40" s="31"/>
      <c r="J40" s="31">
        <f>E40+F40+G40+H40</f>
        <v>0</v>
      </c>
      <c r="K40" s="103" t="e">
        <f>J40/J$175*100</f>
        <v>#REF!</v>
      </c>
    </row>
    <row r="41" spans="1:11" x14ac:dyDescent="0.2">
      <c r="A41" s="82"/>
      <c r="B41" s="94"/>
      <c r="C41" s="95"/>
      <c r="D41" s="98"/>
      <c r="E41" s="34"/>
      <c r="F41" s="34"/>
      <c r="G41" s="34"/>
      <c r="H41" s="34"/>
      <c r="I41" s="34"/>
      <c r="J41" s="34"/>
      <c r="K41" s="105"/>
    </row>
    <row r="42" spans="1:11" x14ac:dyDescent="0.2">
      <c r="A42" s="99">
        <v>702</v>
      </c>
      <c r="B42" s="100"/>
      <c r="C42" s="101" t="s">
        <v>263</v>
      </c>
      <c r="D42" s="102" t="s">
        <v>264</v>
      </c>
      <c r="E42" s="31">
        <f t="shared" ref="E42:J42" si="4">E43+E44</f>
        <v>0</v>
      </c>
      <c r="F42" s="31">
        <f t="shared" si="4"/>
        <v>0</v>
      </c>
      <c r="G42" s="31">
        <f t="shared" si="4"/>
        <v>0</v>
      </c>
      <c r="H42" s="31">
        <f t="shared" si="4"/>
        <v>0</v>
      </c>
      <c r="I42" s="31">
        <f>I43+I44</f>
        <v>0</v>
      </c>
      <c r="J42" s="31">
        <f t="shared" si="4"/>
        <v>0</v>
      </c>
      <c r="K42" s="103" t="e">
        <f>J42/J$175*100</f>
        <v>#REF!</v>
      </c>
    </row>
    <row r="43" spans="1:11" x14ac:dyDescent="0.2">
      <c r="A43" s="99">
        <v>7020</v>
      </c>
      <c r="B43" s="100"/>
      <c r="C43" s="101" t="s">
        <v>265</v>
      </c>
      <c r="D43" s="102" t="s">
        <v>266</v>
      </c>
      <c r="E43" s="31"/>
      <c r="F43" s="31">
        <v>0</v>
      </c>
      <c r="G43" s="31">
        <v>0</v>
      </c>
      <c r="H43" s="31">
        <v>0</v>
      </c>
      <c r="I43" s="31"/>
      <c r="J43" s="31">
        <f>E43+F43+G43+H43</f>
        <v>0</v>
      </c>
      <c r="K43" s="103" t="e">
        <f>J43/J$175*100</f>
        <v>#REF!</v>
      </c>
    </row>
    <row r="44" spans="1:11" x14ac:dyDescent="0.2">
      <c r="A44" s="99">
        <v>7021</v>
      </c>
      <c r="B44" s="100"/>
      <c r="C44" s="101" t="s">
        <v>267</v>
      </c>
      <c r="D44" s="102" t="s">
        <v>268</v>
      </c>
      <c r="E44" s="31"/>
      <c r="F44" s="31">
        <v>0</v>
      </c>
      <c r="G44" s="31">
        <v>0</v>
      </c>
      <c r="H44" s="31">
        <v>0</v>
      </c>
      <c r="I44" s="31"/>
      <c r="J44" s="31">
        <f>E44+F44+G44+H44</f>
        <v>0</v>
      </c>
      <c r="K44" s="103" t="e">
        <f>J44/J$175*100</f>
        <v>#REF!</v>
      </c>
    </row>
    <row r="45" spans="1:11" x14ac:dyDescent="0.2">
      <c r="A45" s="82"/>
      <c r="B45" s="94"/>
      <c r="C45" s="95"/>
      <c r="D45" s="98"/>
      <c r="E45" s="34"/>
      <c r="F45" s="34"/>
      <c r="G45" s="34"/>
      <c r="H45" s="34"/>
      <c r="I45" s="34"/>
      <c r="J45" s="34"/>
      <c r="K45" s="105"/>
    </row>
    <row r="46" spans="1:11" x14ac:dyDescent="0.2">
      <c r="A46" s="99">
        <v>703</v>
      </c>
      <c r="B46" s="100"/>
      <c r="C46" s="101" t="s">
        <v>269</v>
      </c>
      <c r="D46" s="102" t="s">
        <v>270</v>
      </c>
      <c r="E46" s="31">
        <f t="shared" ref="E46:J46" si="5">SUM(E47:E50)</f>
        <v>0</v>
      </c>
      <c r="F46" s="31">
        <f t="shared" si="5"/>
        <v>0</v>
      </c>
      <c r="G46" s="31">
        <f t="shared" si="5"/>
        <v>0</v>
      </c>
      <c r="H46" s="31">
        <f t="shared" si="5"/>
        <v>0</v>
      </c>
      <c r="I46" s="31">
        <f t="shared" si="5"/>
        <v>0</v>
      </c>
      <c r="J46" s="31">
        <f t="shared" si="5"/>
        <v>0</v>
      </c>
      <c r="K46" s="103" t="e">
        <f>J46/J$175*100</f>
        <v>#REF!</v>
      </c>
    </row>
    <row r="47" spans="1:11" x14ac:dyDescent="0.2">
      <c r="A47" s="99">
        <v>7030</v>
      </c>
      <c r="B47" s="100"/>
      <c r="C47" s="101" t="s">
        <v>271</v>
      </c>
      <c r="D47" s="102" t="s">
        <v>272</v>
      </c>
      <c r="E47" s="31"/>
      <c r="F47" s="31"/>
      <c r="G47" s="31">
        <v>0</v>
      </c>
      <c r="H47" s="31">
        <v>0</v>
      </c>
      <c r="I47" s="31"/>
      <c r="J47" s="31">
        <f>E47+F47+G47+H47</f>
        <v>0</v>
      </c>
      <c r="K47" s="103" t="e">
        <f>J47/J$175*100</f>
        <v>#REF!</v>
      </c>
    </row>
    <row r="48" spans="1:11" x14ac:dyDescent="0.2">
      <c r="A48" s="99">
        <v>7031</v>
      </c>
      <c r="B48" s="100"/>
      <c r="C48" s="101" t="s">
        <v>273</v>
      </c>
      <c r="D48" s="102" t="s">
        <v>274</v>
      </c>
      <c r="E48" s="31"/>
      <c r="F48" s="31"/>
      <c r="G48" s="31">
        <v>0</v>
      </c>
      <c r="H48" s="31">
        <v>0</v>
      </c>
      <c r="I48" s="31"/>
      <c r="J48" s="31">
        <f>E48+F48+G48+H48</f>
        <v>0</v>
      </c>
      <c r="K48" s="103" t="e">
        <f>J48/J$175*100</f>
        <v>#REF!</v>
      </c>
    </row>
    <row r="49" spans="1:11" x14ac:dyDescent="0.2">
      <c r="A49" s="99">
        <v>7032</v>
      </c>
      <c r="B49" s="100"/>
      <c r="C49" s="101" t="s">
        <v>275</v>
      </c>
      <c r="D49" s="102" t="s">
        <v>276</v>
      </c>
      <c r="E49" s="31"/>
      <c r="F49" s="31"/>
      <c r="G49" s="31">
        <v>0</v>
      </c>
      <c r="H49" s="31">
        <v>0</v>
      </c>
      <c r="I49" s="31"/>
      <c r="J49" s="31">
        <f>E49+F49+G49+H49</f>
        <v>0</v>
      </c>
      <c r="K49" s="103" t="e">
        <f>J49/J$175*100</f>
        <v>#REF!</v>
      </c>
    </row>
    <row r="50" spans="1:11" x14ac:dyDescent="0.2">
      <c r="A50" s="99">
        <v>7033</v>
      </c>
      <c r="B50" s="100"/>
      <c r="C50" s="101" t="s">
        <v>277</v>
      </c>
      <c r="D50" s="102" t="s">
        <v>278</v>
      </c>
      <c r="E50" s="31"/>
      <c r="F50" s="31"/>
      <c r="G50" s="31">
        <v>0</v>
      </c>
      <c r="H50" s="31">
        <v>0</v>
      </c>
      <c r="I50" s="31"/>
      <c r="J50" s="31">
        <f>E50+F50+G50+H50</f>
        <v>0</v>
      </c>
      <c r="K50" s="103" t="e">
        <f>J50/J$175*100</f>
        <v>#REF!</v>
      </c>
    </row>
    <row r="51" spans="1:11" x14ac:dyDescent="0.2">
      <c r="A51" s="82"/>
      <c r="B51" s="94"/>
      <c r="C51" s="95"/>
      <c r="D51" s="98"/>
      <c r="E51" s="34"/>
      <c r="F51" s="34"/>
      <c r="G51" s="34"/>
      <c r="H51" s="34"/>
      <c r="I51" s="34"/>
      <c r="J51" s="34"/>
      <c r="K51" s="105"/>
    </row>
    <row r="52" spans="1:11" x14ac:dyDescent="0.2">
      <c r="A52" s="99">
        <v>704</v>
      </c>
      <c r="B52" s="100"/>
      <c r="C52" s="101" t="s">
        <v>279</v>
      </c>
      <c r="D52" s="102" t="s">
        <v>280</v>
      </c>
      <c r="E52" s="31">
        <f>SUM(E53:E61)</f>
        <v>0</v>
      </c>
      <c r="F52" s="31">
        <f>SUM(F53:F61)</f>
        <v>0</v>
      </c>
      <c r="G52" s="31">
        <f>SUM(G53:G61)</f>
        <v>0</v>
      </c>
      <c r="H52" s="31">
        <f>SUM(H53:H61)</f>
        <v>0</v>
      </c>
      <c r="I52" s="31">
        <f>SUM(I53:I60)</f>
        <v>0</v>
      </c>
      <c r="J52" s="31">
        <f>SUM(J53:J61)</f>
        <v>0</v>
      </c>
      <c r="K52" s="103" t="e">
        <f t="shared" ref="K52:K61" si="6">J52/J$175*100</f>
        <v>#REF!</v>
      </c>
    </row>
    <row r="53" spans="1:11" x14ac:dyDescent="0.2">
      <c r="A53" s="99">
        <v>7040</v>
      </c>
      <c r="B53" s="100"/>
      <c r="C53" s="101" t="s">
        <v>281</v>
      </c>
      <c r="D53" s="102" t="s">
        <v>452</v>
      </c>
      <c r="E53" s="31"/>
      <c r="F53" s="31"/>
      <c r="G53" s="31">
        <v>0</v>
      </c>
      <c r="H53" s="31">
        <v>0</v>
      </c>
      <c r="I53" s="31"/>
      <c r="J53" s="31">
        <f t="shared" ref="J53:J61" si="7">E53+F53+G53+H53</f>
        <v>0</v>
      </c>
      <c r="K53" s="103" t="e">
        <f t="shared" si="6"/>
        <v>#REF!</v>
      </c>
    </row>
    <row r="54" spans="1:11" x14ac:dyDescent="0.2">
      <c r="A54" s="99">
        <v>7041</v>
      </c>
      <c r="B54" s="100"/>
      <c r="C54" s="101" t="s">
        <v>453</v>
      </c>
      <c r="D54" s="102" t="s">
        <v>454</v>
      </c>
      <c r="E54" s="31"/>
      <c r="F54" s="31"/>
      <c r="G54" s="31">
        <v>0</v>
      </c>
      <c r="H54" s="31">
        <v>0</v>
      </c>
      <c r="I54" s="31"/>
      <c r="J54" s="31">
        <f t="shared" si="7"/>
        <v>0</v>
      </c>
      <c r="K54" s="103" t="e">
        <f t="shared" si="6"/>
        <v>#REF!</v>
      </c>
    </row>
    <row r="55" spans="1:11" x14ac:dyDescent="0.2">
      <c r="A55" s="99">
        <v>7042</v>
      </c>
      <c r="B55" s="100"/>
      <c r="C55" s="101" t="s">
        <v>455</v>
      </c>
      <c r="D55" s="102" t="s">
        <v>456</v>
      </c>
      <c r="E55" s="31"/>
      <c r="F55" s="31"/>
      <c r="G55" s="31">
        <v>0</v>
      </c>
      <c r="H55" s="31">
        <v>0</v>
      </c>
      <c r="I55" s="31"/>
      <c r="J55" s="31">
        <f t="shared" si="7"/>
        <v>0</v>
      </c>
      <c r="K55" s="103" t="e">
        <f t="shared" si="6"/>
        <v>#REF!</v>
      </c>
    </row>
    <row r="56" spans="1:11" x14ac:dyDescent="0.2">
      <c r="A56" s="99">
        <v>7043</v>
      </c>
      <c r="B56" s="100"/>
      <c r="C56" s="101" t="s">
        <v>457</v>
      </c>
      <c r="D56" s="102" t="s">
        <v>458</v>
      </c>
      <c r="E56" s="31"/>
      <c r="F56" s="31"/>
      <c r="G56" s="31">
        <v>0</v>
      </c>
      <c r="H56" s="31">
        <v>0</v>
      </c>
      <c r="I56" s="31"/>
      <c r="J56" s="31">
        <f t="shared" si="7"/>
        <v>0</v>
      </c>
      <c r="K56" s="103" t="e">
        <f t="shared" si="6"/>
        <v>#REF!</v>
      </c>
    </row>
    <row r="57" spans="1:11" x14ac:dyDescent="0.2">
      <c r="A57" s="99">
        <v>7044</v>
      </c>
      <c r="B57" s="100"/>
      <c r="C57" s="101" t="s">
        <v>883</v>
      </c>
      <c r="D57" s="102" t="s">
        <v>460</v>
      </c>
      <c r="E57" s="31"/>
      <c r="F57" s="31"/>
      <c r="G57" s="31">
        <v>0</v>
      </c>
      <c r="H57" s="31">
        <v>0</v>
      </c>
      <c r="I57" s="31"/>
      <c r="J57" s="31">
        <f t="shared" si="7"/>
        <v>0</v>
      </c>
      <c r="K57" s="103" t="e">
        <f t="shared" si="6"/>
        <v>#REF!</v>
      </c>
    </row>
    <row r="58" spans="1:11" x14ac:dyDescent="0.2">
      <c r="A58" s="99">
        <v>7045</v>
      </c>
      <c r="B58" s="100"/>
      <c r="C58" s="101" t="s">
        <v>463</v>
      </c>
      <c r="D58" s="102" t="s">
        <v>464</v>
      </c>
      <c r="E58" s="31"/>
      <c r="F58" s="31">
        <v>0</v>
      </c>
      <c r="G58" s="31">
        <v>0</v>
      </c>
      <c r="H58" s="31">
        <v>0</v>
      </c>
      <c r="I58" s="31"/>
      <c r="J58" s="31">
        <f t="shared" si="7"/>
        <v>0</v>
      </c>
      <c r="K58" s="103" t="e">
        <f t="shared" si="6"/>
        <v>#REF!</v>
      </c>
    </row>
    <row r="59" spans="1:11" x14ac:dyDescent="0.2">
      <c r="A59" s="99">
        <v>7046</v>
      </c>
      <c r="B59" s="100"/>
      <c r="C59" s="101" t="s">
        <v>465</v>
      </c>
      <c r="D59" s="102" t="s">
        <v>466</v>
      </c>
      <c r="E59" s="31"/>
      <c r="F59" s="31"/>
      <c r="G59" s="31">
        <v>0</v>
      </c>
      <c r="H59" s="31">
        <v>0</v>
      </c>
      <c r="I59" s="31"/>
      <c r="J59" s="31">
        <f t="shared" si="7"/>
        <v>0</v>
      </c>
      <c r="K59" s="103" t="e">
        <f t="shared" si="6"/>
        <v>#REF!</v>
      </c>
    </row>
    <row r="60" spans="1:11" x14ac:dyDescent="0.2">
      <c r="A60" s="99">
        <v>7047</v>
      </c>
      <c r="B60" s="100"/>
      <c r="C60" s="101" t="s">
        <v>467</v>
      </c>
      <c r="D60" s="102" t="s">
        <v>468</v>
      </c>
      <c r="E60" s="31"/>
      <c r="F60" s="31"/>
      <c r="G60" s="31">
        <v>0</v>
      </c>
      <c r="H60" s="31">
        <v>0</v>
      </c>
      <c r="I60" s="31"/>
      <c r="J60" s="31">
        <f t="shared" si="7"/>
        <v>0</v>
      </c>
      <c r="K60" s="103" t="e">
        <f t="shared" si="6"/>
        <v>#REF!</v>
      </c>
    </row>
    <row r="61" spans="1:11" x14ac:dyDescent="0.2">
      <c r="A61" s="99">
        <v>7048</v>
      </c>
      <c r="B61" s="100"/>
      <c r="C61" s="101" t="s">
        <v>815</v>
      </c>
      <c r="D61" s="102" t="s">
        <v>462</v>
      </c>
      <c r="E61" s="31"/>
      <c r="F61" s="31">
        <v>0</v>
      </c>
      <c r="G61" s="31">
        <v>0</v>
      </c>
      <c r="H61" s="31">
        <v>0</v>
      </c>
      <c r="I61" s="31"/>
      <c r="J61" s="31">
        <f t="shared" si="7"/>
        <v>0</v>
      </c>
      <c r="K61" s="103" t="e">
        <f t="shared" si="6"/>
        <v>#REF!</v>
      </c>
    </row>
    <row r="62" spans="1:11" x14ac:dyDescent="0.2">
      <c r="A62" s="82"/>
      <c r="B62" s="94"/>
      <c r="C62" s="95"/>
      <c r="D62" s="97" t="s">
        <v>462</v>
      </c>
      <c r="E62" s="34"/>
      <c r="F62" s="34"/>
      <c r="G62" s="34"/>
      <c r="H62" s="34"/>
      <c r="I62" s="34"/>
      <c r="J62" s="34"/>
      <c r="K62" s="105"/>
    </row>
    <row r="63" spans="1:11" x14ac:dyDescent="0.2">
      <c r="A63" s="99">
        <v>705</v>
      </c>
      <c r="B63" s="100"/>
      <c r="C63" s="101" t="s">
        <v>470</v>
      </c>
      <c r="D63" s="102" t="s">
        <v>471</v>
      </c>
      <c r="E63" s="31">
        <f t="shared" ref="E63:J63" si="8">SUM(E64:E70)</f>
        <v>0</v>
      </c>
      <c r="F63" s="31">
        <f t="shared" si="8"/>
        <v>0</v>
      </c>
      <c r="G63" s="31">
        <f t="shared" si="8"/>
        <v>0</v>
      </c>
      <c r="H63" s="31">
        <f t="shared" si="8"/>
        <v>0</v>
      </c>
      <c r="I63" s="31">
        <f t="shared" si="8"/>
        <v>0</v>
      </c>
      <c r="J63" s="31">
        <f t="shared" si="8"/>
        <v>0</v>
      </c>
      <c r="K63" s="103" t="e">
        <f t="shared" ref="K63:K70" si="9">J63/J$175*100</f>
        <v>#REF!</v>
      </c>
    </row>
    <row r="64" spans="1:11" x14ac:dyDescent="0.2">
      <c r="A64" s="99">
        <v>7050</v>
      </c>
      <c r="B64" s="100"/>
      <c r="C64" s="101" t="s">
        <v>472</v>
      </c>
      <c r="D64" s="102" t="s">
        <v>473</v>
      </c>
      <c r="E64" s="31"/>
      <c r="F64" s="31">
        <v>0</v>
      </c>
      <c r="G64" s="31">
        <v>0</v>
      </c>
      <c r="H64" s="31">
        <v>0</v>
      </c>
      <c r="I64" s="31"/>
      <c r="J64" s="31">
        <f t="shared" ref="J64:J70" si="10">E64+F64+G64+H64</f>
        <v>0</v>
      </c>
      <c r="K64" s="103" t="e">
        <f t="shared" si="9"/>
        <v>#REF!</v>
      </c>
    </row>
    <row r="65" spans="1:11" x14ac:dyDescent="0.2">
      <c r="A65" s="99">
        <v>7051</v>
      </c>
      <c r="B65" s="100"/>
      <c r="C65" s="101" t="s">
        <v>474</v>
      </c>
      <c r="D65" s="102" t="s">
        <v>475</v>
      </c>
      <c r="E65" s="31"/>
      <c r="F65" s="31">
        <v>0</v>
      </c>
      <c r="G65" s="31">
        <v>0</v>
      </c>
      <c r="H65" s="31">
        <v>0</v>
      </c>
      <c r="I65" s="31"/>
      <c r="J65" s="31">
        <f t="shared" si="10"/>
        <v>0</v>
      </c>
      <c r="K65" s="103" t="e">
        <f t="shared" si="9"/>
        <v>#REF!</v>
      </c>
    </row>
    <row r="66" spans="1:11" x14ac:dyDescent="0.2">
      <c r="A66" s="99">
        <v>7052</v>
      </c>
      <c r="B66" s="100"/>
      <c r="C66" s="101" t="s">
        <v>476</v>
      </c>
      <c r="D66" s="102" t="s">
        <v>477</v>
      </c>
      <c r="E66" s="31"/>
      <c r="F66" s="31">
        <v>0</v>
      </c>
      <c r="G66" s="31">
        <v>0</v>
      </c>
      <c r="H66" s="31">
        <v>0</v>
      </c>
      <c r="I66" s="31"/>
      <c r="J66" s="31">
        <f t="shared" si="10"/>
        <v>0</v>
      </c>
      <c r="K66" s="103" t="e">
        <f t="shared" si="9"/>
        <v>#REF!</v>
      </c>
    </row>
    <row r="67" spans="1:11" x14ac:dyDescent="0.2">
      <c r="A67" s="99">
        <v>7053</v>
      </c>
      <c r="B67" s="100"/>
      <c r="C67" s="101" t="s">
        <v>478</v>
      </c>
      <c r="D67" s="102" t="s">
        <v>479</v>
      </c>
      <c r="E67" s="31"/>
      <c r="F67" s="31">
        <v>0</v>
      </c>
      <c r="G67" s="31">
        <v>0</v>
      </c>
      <c r="H67" s="31">
        <v>0</v>
      </c>
      <c r="I67" s="31"/>
      <c r="J67" s="31">
        <f t="shared" si="10"/>
        <v>0</v>
      </c>
      <c r="K67" s="103" t="e">
        <f t="shared" si="9"/>
        <v>#REF!</v>
      </c>
    </row>
    <row r="68" spans="1:11" x14ac:dyDescent="0.2">
      <c r="A68" s="99">
        <v>7054</v>
      </c>
      <c r="B68" s="100"/>
      <c r="C68" s="101" t="s">
        <v>480</v>
      </c>
      <c r="D68" s="102" t="s">
        <v>481</v>
      </c>
      <c r="E68" s="31"/>
      <c r="F68" s="31">
        <v>0</v>
      </c>
      <c r="G68" s="31">
        <v>0</v>
      </c>
      <c r="H68" s="31">
        <v>0</v>
      </c>
      <c r="I68" s="31"/>
      <c r="J68" s="31">
        <f t="shared" si="10"/>
        <v>0</v>
      </c>
      <c r="K68" s="103" t="e">
        <f t="shared" si="9"/>
        <v>#REF!</v>
      </c>
    </row>
    <row r="69" spans="1:11" x14ac:dyDescent="0.2">
      <c r="A69" s="99">
        <v>7055</v>
      </c>
      <c r="B69" s="100"/>
      <c r="C69" s="101" t="s">
        <v>482</v>
      </c>
      <c r="D69" s="102" t="s">
        <v>483</v>
      </c>
      <c r="E69" s="31"/>
      <c r="F69" s="31">
        <v>0</v>
      </c>
      <c r="G69" s="31">
        <v>0</v>
      </c>
      <c r="H69" s="31">
        <v>0</v>
      </c>
      <c r="I69" s="31"/>
      <c r="J69" s="31">
        <f t="shared" si="10"/>
        <v>0</v>
      </c>
      <c r="K69" s="103" t="e">
        <f t="shared" si="9"/>
        <v>#REF!</v>
      </c>
    </row>
    <row r="70" spans="1:11" x14ac:dyDescent="0.2">
      <c r="A70" s="99">
        <v>7056</v>
      </c>
      <c r="B70" s="100"/>
      <c r="C70" s="101" t="s">
        <v>484</v>
      </c>
      <c r="D70" s="102" t="s">
        <v>485</v>
      </c>
      <c r="E70" s="31"/>
      <c r="F70" s="31">
        <v>0</v>
      </c>
      <c r="G70" s="31">
        <v>0</v>
      </c>
      <c r="H70" s="31">
        <v>0</v>
      </c>
      <c r="I70" s="31"/>
      <c r="J70" s="31">
        <f t="shared" si="10"/>
        <v>0</v>
      </c>
      <c r="K70" s="103" t="e">
        <f t="shared" si="9"/>
        <v>#REF!</v>
      </c>
    </row>
    <row r="71" spans="1:11" x14ac:dyDescent="0.2">
      <c r="A71" s="82"/>
      <c r="B71" s="94"/>
      <c r="C71" s="95"/>
      <c r="D71" s="97" t="s">
        <v>462</v>
      </c>
      <c r="E71" s="34"/>
      <c r="F71" s="34"/>
      <c r="G71" s="34"/>
      <c r="H71" s="34"/>
      <c r="I71" s="34"/>
      <c r="J71" s="34"/>
      <c r="K71" s="105"/>
    </row>
    <row r="72" spans="1:11" x14ac:dyDescent="0.2">
      <c r="A72" s="99">
        <v>706</v>
      </c>
      <c r="B72" s="100"/>
      <c r="C72" s="101" t="s">
        <v>486</v>
      </c>
      <c r="D72" s="102" t="s">
        <v>487</v>
      </c>
      <c r="E72" s="31">
        <f>E73</f>
        <v>0</v>
      </c>
      <c r="F72" s="31">
        <f>F73</f>
        <v>0</v>
      </c>
      <c r="G72" s="31">
        <f>G73</f>
        <v>0</v>
      </c>
      <c r="H72" s="31">
        <f>H73</f>
        <v>0</v>
      </c>
      <c r="I72" s="31">
        <f>I73</f>
        <v>0</v>
      </c>
      <c r="J72" s="31">
        <f>E72+F72+G72+H72</f>
        <v>0</v>
      </c>
      <c r="K72" s="103" t="e">
        <f>J72/J$175*100</f>
        <v>#REF!</v>
      </c>
    </row>
    <row r="73" spans="1:11" x14ac:dyDescent="0.2">
      <c r="A73" s="99">
        <v>7060</v>
      </c>
      <c r="B73" s="100"/>
      <c r="C73" s="101" t="s">
        <v>488</v>
      </c>
      <c r="D73" s="102" t="s">
        <v>489</v>
      </c>
      <c r="E73" s="31">
        <v>0</v>
      </c>
      <c r="F73" s="31"/>
      <c r="G73" s="31">
        <v>0</v>
      </c>
      <c r="H73" s="31">
        <v>0</v>
      </c>
      <c r="I73" s="31"/>
      <c r="J73" s="31">
        <f>E73+F73+G73+H73</f>
        <v>0</v>
      </c>
      <c r="K73" s="103" t="e">
        <f>J73/J$175*100</f>
        <v>#REF!</v>
      </c>
    </row>
    <row r="74" spans="1:11" x14ac:dyDescent="0.2">
      <c r="A74" s="82"/>
      <c r="B74" s="94"/>
      <c r="C74" s="95"/>
      <c r="D74" s="98"/>
      <c r="E74" s="86"/>
      <c r="F74" s="86"/>
      <c r="G74" s="86"/>
      <c r="H74" s="86"/>
      <c r="I74" s="86"/>
      <c r="J74" s="86"/>
      <c r="K74" s="87"/>
    </row>
    <row r="75" spans="1:11" ht="15.75" x14ac:dyDescent="0.25">
      <c r="A75" s="88">
        <v>71</v>
      </c>
      <c r="B75" s="89"/>
      <c r="C75" s="90" t="s">
        <v>490</v>
      </c>
      <c r="D75" s="91" t="s">
        <v>491</v>
      </c>
      <c r="E75" s="32">
        <f t="shared" ref="E75:J75" si="11">E78+E85+E89+E92+E96</f>
        <v>0</v>
      </c>
      <c r="F75" s="32">
        <f t="shared" si="11"/>
        <v>0</v>
      </c>
      <c r="G75" s="32">
        <f t="shared" si="11"/>
        <v>0</v>
      </c>
      <c r="H75" s="32">
        <f t="shared" si="11"/>
        <v>0</v>
      </c>
      <c r="I75" s="32">
        <f t="shared" si="11"/>
        <v>0</v>
      </c>
      <c r="J75" s="32">
        <f t="shared" si="11"/>
        <v>0</v>
      </c>
      <c r="K75" s="92" t="e">
        <f>J75/J$175*100</f>
        <v>#REF!</v>
      </c>
    </row>
    <row r="76" spans="1:11" ht="15.75" x14ac:dyDescent="0.25">
      <c r="A76" s="88"/>
      <c r="B76" s="89"/>
      <c r="C76" s="96" t="s">
        <v>492</v>
      </c>
      <c r="D76" s="97" t="s">
        <v>492</v>
      </c>
      <c r="E76" s="86"/>
      <c r="F76" s="86"/>
      <c r="G76" s="86"/>
      <c r="H76" s="86"/>
      <c r="I76" s="86"/>
      <c r="J76" s="86"/>
      <c r="K76" s="87"/>
    </row>
    <row r="77" spans="1:11" x14ac:dyDescent="0.2">
      <c r="A77" s="99"/>
      <c r="B77" s="100"/>
      <c r="C77" s="101"/>
      <c r="D77" s="102"/>
      <c r="E77" s="31"/>
      <c r="F77" s="31"/>
      <c r="G77" s="31"/>
      <c r="H77" s="31"/>
      <c r="I77" s="31"/>
      <c r="J77" s="31"/>
      <c r="K77" s="104"/>
    </row>
    <row r="78" spans="1:11" x14ac:dyDescent="0.2">
      <c r="A78" s="99">
        <v>710</v>
      </c>
      <c r="B78" s="100"/>
      <c r="C78" s="101" t="s">
        <v>494</v>
      </c>
      <c r="D78" s="102" t="s">
        <v>495</v>
      </c>
      <c r="E78" s="31">
        <f>SUM(E79:E82)</f>
        <v>0</v>
      </c>
      <c r="F78" s="31">
        <f>SUM(F79:F82)</f>
        <v>0</v>
      </c>
      <c r="G78" s="31">
        <f>SUM(G79:G82)</f>
        <v>0</v>
      </c>
      <c r="H78" s="31">
        <f>SUM(H79:H82)</f>
        <v>0</v>
      </c>
      <c r="I78" s="31">
        <f>SUM(I79:I82)</f>
        <v>0</v>
      </c>
      <c r="J78" s="31">
        <f>E78+F78+G78+H78</f>
        <v>0</v>
      </c>
      <c r="K78" s="103" t="e">
        <f>J78/J$175*100</f>
        <v>#REF!</v>
      </c>
    </row>
    <row r="79" spans="1:11" x14ac:dyDescent="0.2">
      <c r="A79" s="99">
        <v>7100</v>
      </c>
      <c r="B79" s="100"/>
      <c r="C79" s="101" t="s">
        <v>496</v>
      </c>
      <c r="D79" s="102" t="s">
        <v>497</v>
      </c>
      <c r="E79" s="31"/>
      <c r="F79" s="31"/>
      <c r="G79" s="31"/>
      <c r="H79" s="31"/>
      <c r="I79" s="31"/>
      <c r="J79" s="31">
        <f>E79+F79+G79+H79</f>
        <v>0</v>
      </c>
      <c r="K79" s="103" t="e">
        <f>J79/J$175*100</f>
        <v>#REF!</v>
      </c>
    </row>
    <row r="80" spans="1:11" x14ac:dyDescent="0.2">
      <c r="A80" s="99">
        <v>7101</v>
      </c>
      <c r="B80" s="100"/>
      <c r="C80" s="101" t="s">
        <v>498</v>
      </c>
      <c r="D80" s="102" t="s">
        <v>499</v>
      </c>
      <c r="E80" s="31"/>
      <c r="F80" s="31"/>
      <c r="G80" s="31"/>
      <c r="H80" s="31"/>
      <c r="I80" s="31"/>
      <c r="J80" s="31">
        <f>E80+F80+G80+H80</f>
        <v>0</v>
      </c>
      <c r="K80" s="103" t="e">
        <f>J80/J$175*100</f>
        <v>#REF!</v>
      </c>
    </row>
    <row r="81" spans="1:11" x14ac:dyDescent="0.2">
      <c r="A81" s="99">
        <v>7102</v>
      </c>
      <c r="B81" s="100"/>
      <c r="C81" s="101" t="s">
        <v>500</v>
      </c>
      <c r="D81" s="102" t="s">
        <v>501</v>
      </c>
      <c r="E81" s="31"/>
      <c r="F81" s="31"/>
      <c r="G81" s="31"/>
      <c r="H81" s="31"/>
      <c r="I81" s="31"/>
      <c r="J81" s="31">
        <f>E81+F81+G81+H81</f>
        <v>0</v>
      </c>
      <c r="K81" s="103" t="e">
        <f>J81/J$175*100</f>
        <v>#REF!</v>
      </c>
    </row>
    <row r="82" spans="1:11" x14ac:dyDescent="0.2">
      <c r="A82" s="99">
        <v>7103</v>
      </c>
      <c r="B82" s="100"/>
      <c r="C82" s="101" t="s">
        <v>502</v>
      </c>
      <c r="D82" s="102" t="s">
        <v>503</v>
      </c>
      <c r="E82" s="31"/>
      <c r="F82" s="31"/>
      <c r="G82" s="31"/>
      <c r="H82" s="31"/>
      <c r="I82" s="31"/>
      <c r="J82" s="31">
        <f>E82+F82+G82+H82</f>
        <v>0</v>
      </c>
      <c r="K82" s="103" t="e">
        <f>J82/J$175*100</f>
        <v>#REF!</v>
      </c>
    </row>
    <row r="83" spans="1:11" x14ac:dyDescent="0.2">
      <c r="A83" s="82"/>
      <c r="B83" s="94"/>
      <c r="C83" s="95" t="s">
        <v>504</v>
      </c>
      <c r="D83" s="98" t="s">
        <v>462</v>
      </c>
      <c r="E83" s="34"/>
      <c r="F83" s="34"/>
      <c r="G83" s="34"/>
      <c r="H83" s="34"/>
      <c r="I83" s="34"/>
      <c r="J83" s="34"/>
      <c r="K83" s="105"/>
    </row>
    <row r="84" spans="1:11" x14ac:dyDescent="0.2">
      <c r="A84" s="82"/>
      <c r="B84" s="94"/>
      <c r="C84" s="95"/>
      <c r="D84" s="98"/>
      <c r="E84" s="34"/>
      <c r="F84" s="34"/>
      <c r="G84" s="34"/>
      <c r="H84" s="34"/>
      <c r="I84" s="34"/>
      <c r="J84" s="34"/>
      <c r="K84" s="105"/>
    </row>
    <row r="85" spans="1:11" x14ac:dyDescent="0.2">
      <c r="A85" s="99">
        <v>711</v>
      </c>
      <c r="B85" s="100"/>
      <c r="C85" s="101" t="s">
        <v>505</v>
      </c>
      <c r="D85" s="102" t="s">
        <v>506</v>
      </c>
      <c r="E85" s="31">
        <f>E86+E87</f>
        <v>0</v>
      </c>
      <c r="F85" s="31">
        <f>F86+F87</f>
        <v>0</v>
      </c>
      <c r="G85" s="31">
        <f>G86+G87</f>
        <v>0</v>
      </c>
      <c r="H85" s="31">
        <f>H86+H87</f>
        <v>0</v>
      </c>
      <c r="I85" s="31">
        <f>I86+I87</f>
        <v>0</v>
      </c>
      <c r="J85" s="31">
        <f>E85+F85+G85+H85</f>
        <v>0</v>
      </c>
      <c r="K85" s="103" t="e">
        <f>J85/J$175*100</f>
        <v>#REF!</v>
      </c>
    </row>
    <row r="86" spans="1:11" x14ac:dyDescent="0.2">
      <c r="A86" s="99">
        <v>7110</v>
      </c>
      <c r="B86" s="100"/>
      <c r="C86" s="101" t="s">
        <v>507</v>
      </c>
      <c r="D86" s="102" t="s">
        <v>508</v>
      </c>
      <c r="E86" s="31"/>
      <c r="F86" s="31"/>
      <c r="G86" s="31">
        <v>0</v>
      </c>
      <c r="H86" s="31">
        <v>0</v>
      </c>
      <c r="I86" s="31"/>
      <c r="J86" s="31">
        <f>E86+F86+G86+H86</f>
        <v>0</v>
      </c>
      <c r="K86" s="103" t="e">
        <f>J86/J$175*100</f>
        <v>#REF!</v>
      </c>
    </row>
    <row r="87" spans="1:11" x14ac:dyDescent="0.2">
      <c r="A87" s="99">
        <v>7111</v>
      </c>
      <c r="B87" s="100"/>
      <c r="C87" s="101" t="s">
        <v>509</v>
      </c>
      <c r="D87" s="102" t="s">
        <v>510</v>
      </c>
      <c r="E87" s="31"/>
      <c r="F87" s="31"/>
      <c r="G87" s="31">
        <v>0</v>
      </c>
      <c r="H87" s="31">
        <v>0</v>
      </c>
      <c r="I87" s="31"/>
      <c r="J87" s="31">
        <f>E87+F87+G87+H87</f>
        <v>0</v>
      </c>
      <c r="K87" s="103" t="e">
        <f>J87/J$175*100</f>
        <v>#REF!</v>
      </c>
    </row>
    <row r="88" spans="1:11" x14ac:dyDescent="0.2">
      <c r="A88" s="82"/>
      <c r="B88" s="94"/>
      <c r="C88" s="95"/>
      <c r="D88" s="98"/>
      <c r="E88" s="34"/>
      <c r="F88" s="34"/>
      <c r="G88" s="34"/>
      <c r="H88" s="34"/>
      <c r="I88" s="34"/>
      <c r="J88" s="34"/>
      <c r="K88" s="105"/>
    </row>
    <row r="89" spans="1:11" x14ac:dyDescent="0.2">
      <c r="A89" s="99">
        <v>712</v>
      </c>
      <c r="B89" s="100"/>
      <c r="C89" s="101" t="s">
        <v>511</v>
      </c>
      <c r="D89" s="102" t="s">
        <v>512</v>
      </c>
      <c r="E89" s="31">
        <f>E90</f>
        <v>0</v>
      </c>
      <c r="F89" s="31">
        <f>F90</f>
        <v>0</v>
      </c>
      <c r="G89" s="31">
        <f>G90</f>
        <v>0</v>
      </c>
      <c r="H89" s="31">
        <f>H90</f>
        <v>0</v>
      </c>
      <c r="I89" s="31">
        <f>I90</f>
        <v>0</v>
      </c>
      <c r="J89" s="31">
        <f>E89+F89+G89+H89</f>
        <v>0</v>
      </c>
      <c r="K89" s="103" t="e">
        <f>J89/J$175*100</f>
        <v>#REF!</v>
      </c>
    </row>
    <row r="90" spans="1:11" x14ac:dyDescent="0.2">
      <c r="A90" s="99">
        <v>7120</v>
      </c>
      <c r="B90" s="100"/>
      <c r="C90" s="101" t="s">
        <v>513</v>
      </c>
      <c r="D90" s="102" t="s">
        <v>514</v>
      </c>
      <c r="E90" s="31"/>
      <c r="F90" s="31"/>
      <c r="G90" s="31">
        <v>0</v>
      </c>
      <c r="H90" s="31"/>
      <c r="I90" s="31"/>
      <c r="J90" s="31">
        <f>E90+F90+G90+H90</f>
        <v>0</v>
      </c>
      <c r="K90" s="103" t="e">
        <f>J90/J$175*100</f>
        <v>#REF!</v>
      </c>
    </row>
    <row r="91" spans="1:11" x14ac:dyDescent="0.2">
      <c r="A91" s="82"/>
      <c r="B91" s="94"/>
      <c r="C91" s="95"/>
      <c r="D91" s="98"/>
      <c r="E91" s="34"/>
      <c r="F91" s="34"/>
      <c r="G91" s="34"/>
      <c r="H91" s="34"/>
      <c r="I91" s="34"/>
      <c r="J91" s="34"/>
      <c r="K91" s="105"/>
    </row>
    <row r="92" spans="1:11" x14ac:dyDescent="0.2">
      <c r="A92" s="99">
        <v>713</v>
      </c>
      <c r="B92" s="100"/>
      <c r="C92" s="101" t="s">
        <v>515</v>
      </c>
      <c r="D92" s="102" t="s">
        <v>516</v>
      </c>
      <c r="E92" s="31">
        <f t="shared" ref="E92:J92" si="12">E93</f>
        <v>0</v>
      </c>
      <c r="F92" s="31">
        <f t="shared" si="12"/>
        <v>0</v>
      </c>
      <c r="G92" s="31">
        <f t="shared" si="12"/>
        <v>0</v>
      </c>
      <c r="H92" s="31">
        <f t="shared" si="12"/>
        <v>0</v>
      </c>
      <c r="I92" s="31">
        <f t="shared" si="12"/>
        <v>0</v>
      </c>
      <c r="J92" s="31">
        <f t="shared" si="12"/>
        <v>0</v>
      </c>
      <c r="K92" s="103" t="e">
        <f>J92/J$175*100</f>
        <v>#REF!</v>
      </c>
    </row>
    <row r="93" spans="1:11" x14ac:dyDescent="0.2">
      <c r="A93" s="99">
        <v>7130</v>
      </c>
      <c r="B93" s="100"/>
      <c r="C93" s="101" t="s">
        <v>517</v>
      </c>
      <c r="D93" s="102" t="s">
        <v>518</v>
      </c>
      <c r="E93" s="31"/>
      <c r="F93" s="31"/>
      <c r="G93" s="31"/>
      <c r="H93" s="31"/>
      <c r="I93" s="31"/>
      <c r="J93" s="31">
        <f>E93+F93+G93+H93-I93</f>
        <v>0</v>
      </c>
      <c r="K93" s="103" t="e">
        <f>J93/J$175*100</f>
        <v>#REF!</v>
      </c>
    </row>
    <row r="94" spans="1:11" x14ac:dyDescent="0.2">
      <c r="A94" s="82"/>
      <c r="B94" s="94"/>
      <c r="C94" s="95" t="s">
        <v>519</v>
      </c>
      <c r="D94" s="98"/>
      <c r="E94" s="34"/>
      <c r="F94" s="34"/>
      <c r="G94" s="34"/>
      <c r="H94" s="34"/>
      <c r="I94" s="34"/>
      <c r="J94" s="111"/>
      <c r="K94" s="105"/>
    </row>
    <row r="95" spans="1:11" x14ac:dyDescent="0.2">
      <c r="A95" s="82"/>
      <c r="B95" s="94"/>
      <c r="C95" s="95"/>
      <c r="D95" s="97" t="s">
        <v>462</v>
      </c>
      <c r="E95" s="34"/>
      <c r="F95" s="34"/>
      <c r="G95" s="34"/>
      <c r="H95" s="34"/>
      <c r="I95" s="34"/>
      <c r="J95" s="34"/>
      <c r="K95" s="105"/>
    </row>
    <row r="96" spans="1:11" x14ac:dyDescent="0.2">
      <c r="A96" s="99">
        <v>714</v>
      </c>
      <c r="B96" s="100"/>
      <c r="C96" s="101" t="s">
        <v>520</v>
      </c>
      <c r="D96" s="102" t="s">
        <v>521</v>
      </c>
      <c r="E96" s="31">
        <f t="shared" ref="E96:J96" si="13">E97+E98</f>
        <v>0</v>
      </c>
      <c r="F96" s="31">
        <f t="shared" si="13"/>
        <v>0</v>
      </c>
      <c r="G96" s="31">
        <f t="shared" si="13"/>
        <v>0</v>
      </c>
      <c r="H96" s="31">
        <f t="shared" si="13"/>
        <v>0</v>
      </c>
      <c r="I96" s="31">
        <f t="shared" si="13"/>
        <v>0</v>
      </c>
      <c r="J96" s="31">
        <f t="shared" si="13"/>
        <v>0</v>
      </c>
      <c r="K96" s="103" t="e">
        <f>J96/J$175*100</f>
        <v>#REF!</v>
      </c>
    </row>
    <row r="97" spans="1:11" x14ac:dyDescent="0.2">
      <c r="A97" s="99">
        <v>7140</v>
      </c>
      <c r="B97" s="100"/>
      <c r="C97" s="101" t="s">
        <v>522</v>
      </c>
      <c r="D97" s="102" t="s">
        <v>523</v>
      </c>
      <c r="E97" s="31"/>
      <c r="F97" s="31"/>
      <c r="G97" s="31"/>
      <c r="H97" s="31"/>
      <c r="I97" s="31"/>
      <c r="J97" s="31">
        <f>E97+F97+G97+H97</f>
        <v>0</v>
      </c>
      <c r="K97" s="103" t="e">
        <f>J97/J$175*100</f>
        <v>#REF!</v>
      </c>
    </row>
    <row r="98" spans="1:11" x14ac:dyDescent="0.2">
      <c r="A98" s="99">
        <v>7141</v>
      </c>
      <c r="B98" s="100"/>
      <c r="C98" s="101" t="s">
        <v>524</v>
      </c>
      <c r="D98" s="102" t="s">
        <v>525</v>
      </c>
      <c r="E98" s="31"/>
      <c r="F98" s="31"/>
      <c r="G98" s="31"/>
      <c r="H98" s="31"/>
      <c r="I98" s="31"/>
      <c r="J98" s="31">
        <f>E98+F98+G98+H98-I98</f>
        <v>0</v>
      </c>
      <c r="K98" s="103" t="e">
        <f>J98/J$175*100</f>
        <v>#REF!</v>
      </c>
    </row>
    <row r="99" spans="1:11" x14ac:dyDescent="0.2">
      <c r="A99" s="82"/>
      <c r="B99" s="94"/>
      <c r="C99" s="95"/>
      <c r="D99" s="98"/>
      <c r="E99" s="86"/>
      <c r="F99" s="86"/>
      <c r="G99" s="86"/>
      <c r="H99" s="86"/>
      <c r="I99" s="86"/>
      <c r="J99" s="86"/>
      <c r="K99" s="87"/>
    </row>
    <row r="100" spans="1:11" ht="15.75" x14ac:dyDescent="0.25">
      <c r="A100" s="88">
        <v>72</v>
      </c>
      <c r="B100" s="89"/>
      <c r="C100" s="90" t="s">
        <v>526</v>
      </c>
      <c r="D100" s="91" t="s">
        <v>527</v>
      </c>
      <c r="E100" s="32">
        <f>E103+E109+E113</f>
        <v>0</v>
      </c>
      <c r="F100" s="32">
        <f>F103+F109+F113</f>
        <v>0</v>
      </c>
      <c r="G100" s="32">
        <f>G103+G109+G113</f>
        <v>0</v>
      </c>
      <c r="H100" s="32">
        <f>H103+H109+H113</f>
        <v>0</v>
      </c>
      <c r="I100" s="32">
        <f>I103+I109+I113</f>
        <v>0</v>
      </c>
      <c r="J100" s="32">
        <f>E100+F100+G100+H100</f>
        <v>0</v>
      </c>
      <c r="K100" s="92" t="e">
        <f>J100/J$175*100</f>
        <v>#REF!</v>
      </c>
    </row>
    <row r="101" spans="1:11" ht="15.75" x14ac:dyDescent="0.25">
      <c r="A101" s="88"/>
      <c r="B101" s="89"/>
      <c r="C101" s="96" t="s">
        <v>528</v>
      </c>
      <c r="D101" s="97" t="s">
        <v>528</v>
      </c>
      <c r="E101" s="86"/>
      <c r="F101" s="86"/>
      <c r="G101" s="86"/>
      <c r="H101" s="86"/>
      <c r="I101" s="86"/>
      <c r="J101" s="86"/>
      <c r="K101" s="87"/>
    </row>
    <row r="102" spans="1:11" x14ac:dyDescent="0.2">
      <c r="A102" s="82"/>
      <c r="B102" s="94"/>
      <c r="C102" s="95"/>
      <c r="D102" s="98"/>
      <c r="E102" s="86"/>
      <c r="F102" s="86"/>
      <c r="G102" s="86"/>
      <c r="H102" s="86"/>
      <c r="I102" s="86"/>
      <c r="J102" s="86"/>
      <c r="K102" s="87"/>
    </row>
    <row r="103" spans="1:11" x14ac:dyDescent="0.2">
      <c r="A103" s="99">
        <v>720</v>
      </c>
      <c r="B103" s="100"/>
      <c r="C103" s="101" t="s">
        <v>529</v>
      </c>
      <c r="D103" s="102" t="s">
        <v>530</v>
      </c>
      <c r="E103" s="31">
        <f>SUM(E104:E107)</f>
        <v>0</v>
      </c>
      <c r="F103" s="31">
        <f>SUM(F104:F107)</f>
        <v>0</v>
      </c>
      <c r="G103" s="31">
        <f>SUM(G104:G107)</f>
        <v>0</v>
      </c>
      <c r="H103" s="31">
        <f>SUM(H104:H107)</f>
        <v>0</v>
      </c>
      <c r="I103" s="31">
        <f>SUM(I104:I107)</f>
        <v>0</v>
      </c>
      <c r="J103" s="31">
        <f>E103+F103+G103+H103</f>
        <v>0</v>
      </c>
      <c r="K103" s="103" t="e">
        <f>J103/J$175*100</f>
        <v>#REF!</v>
      </c>
    </row>
    <row r="104" spans="1:11" x14ac:dyDescent="0.2">
      <c r="A104" s="99">
        <v>7200</v>
      </c>
      <c r="B104" s="100"/>
      <c r="C104" s="101" t="s">
        <v>531</v>
      </c>
      <c r="D104" s="102" t="s">
        <v>532</v>
      </c>
      <c r="E104" s="31"/>
      <c r="F104" s="31"/>
      <c r="G104" s="31"/>
      <c r="H104" s="31"/>
      <c r="I104" s="31"/>
      <c r="J104" s="31">
        <f>E104+F104+G104+H104</f>
        <v>0</v>
      </c>
      <c r="K104" s="103" t="e">
        <f>J104/J$175*100</f>
        <v>#REF!</v>
      </c>
    </row>
    <row r="105" spans="1:11" x14ac:dyDescent="0.2">
      <c r="A105" s="99">
        <v>7201</v>
      </c>
      <c r="B105" s="100"/>
      <c r="C105" s="101" t="s">
        <v>533</v>
      </c>
      <c r="D105" s="102" t="s">
        <v>534</v>
      </c>
      <c r="E105" s="31"/>
      <c r="F105" s="31"/>
      <c r="G105" s="31"/>
      <c r="H105" s="31"/>
      <c r="I105" s="31"/>
      <c r="J105" s="31">
        <f>E105+F105+G105+H105</f>
        <v>0</v>
      </c>
      <c r="K105" s="103" t="e">
        <f>J105/J$175*100</f>
        <v>#REF!</v>
      </c>
    </row>
    <row r="106" spans="1:11" x14ac:dyDescent="0.2">
      <c r="A106" s="99">
        <v>7202</v>
      </c>
      <c r="B106" s="100"/>
      <c r="C106" s="101" t="s">
        <v>535</v>
      </c>
      <c r="D106" s="102" t="s">
        <v>536</v>
      </c>
      <c r="E106" s="31"/>
      <c r="F106" s="31"/>
      <c r="G106" s="31"/>
      <c r="H106" s="31"/>
      <c r="I106" s="31"/>
      <c r="J106" s="31">
        <f>E106+F106+G106+H106</f>
        <v>0</v>
      </c>
      <c r="K106" s="103" t="e">
        <f>J106/J$175*100</f>
        <v>#REF!</v>
      </c>
    </row>
    <row r="107" spans="1:11" x14ac:dyDescent="0.2">
      <c r="A107" s="99">
        <v>7203</v>
      </c>
      <c r="B107" s="100"/>
      <c r="C107" s="101" t="s">
        <v>537</v>
      </c>
      <c r="D107" s="102" t="s">
        <v>538</v>
      </c>
      <c r="E107" s="31"/>
      <c r="F107" s="31"/>
      <c r="G107" s="31"/>
      <c r="H107" s="31"/>
      <c r="I107" s="31"/>
      <c r="J107" s="31">
        <f>E107+F107+G107+H107</f>
        <v>0</v>
      </c>
      <c r="K107" s="103" t="e">
        <f>J107/J$175*100</f>
        <v>#REF!</v>
      </c>
    </row>
    <row r="108" spans="1:11" x14ac:dyDescent="0.2">
      <c r="A108" s="82"/>
      <c r="B108" s="94"/>
      <c r="C108" s="95"/>
      <c r="D108" s="98"/>
      <c r="E108" s="34"/>
      <c r="F108" s="34"/>
      <c r="G108" s="34"/>
      <c r="H108" s="34"/>
      <c r="I108" s="34"/>
      <c r="J108" s="34"/>
      <c r="K108" s="105"/>
    </row>
    <row r="109" spans="1:11" x14ac:dyDescent="0.2">
      <c r="A109" s="99">
        <v>721</v>
      </c>
      <c r="B109" s="100"/>
      <c r="C109" s="101" t="s">
        <v>539</v>
      </c>
      <c r="D109" s="102" t="s">
        <v>540</v>
      </c>
      <c r="E109" s="31">
        <f>E110+E111</f>
        <v>0</v>
      </c>
      <c r="F109" s="31">
        <f>F110+F111</f>
        <v>0</v>
      </c>
      <c r="G109" s="31">
        <f>G110+G111</f>
        <v>0</v>
      </c>
      <c r="H109" s="31">
        <f>H110+H111</f>
        <v>0</v>
      </c>
      <c r="I109" s="31">
        <f>I110+I111</f>
        <v>0</v>
      </c>
      <c r="J109" s="31">
        <f>E109+F109+G109+H109</f>
        <v>0</v>
      </c>
      <c r="K109" s="103" t="e">
        <f>J109/J$175*100</f>
        <v>#REF!</v>
      </c>
    </row>
    <row r="110" spans="1:11" x14ac:dyDescent="0.2">
      <c r="A110" s="99">
        <v>7210</v>
      </c>
      <c r="B110" s="100"/>
      <c r="C110" s="101" t="s">
        <v>541</v>
      </c>
      <c r="D110" s="102" t="s">
        <v>542</v>
      </c>
      <c r="E110" s="31">
        <v>0</v>
      </c>
      <c r="F110" s="31"/>
      <c r="G110" s="31">
        <v>0</v>
      </c>
      <c r="H110" s="31">
        <v>0</v>
      </c>
      <c r="I110" s="31"/>
      <c r="J110" s="31">
        <f>E110+F110+G110+H110</f>
        <v>0</v>
      </c>
      <c r="K110" s="104"/>
    </row>
    <row r="111" spans="1:11" x14ac:dyDescent="0.2">
      <c r="A111" s="99">
        <v>7211</v>
      </c>
      <c r="B111" s="100"/>
      <c r="C111" s="101" t="s">
        <v>543</v>
      </c>
      <c r="D111" s="102" t="s">
        <v>544</v>
      </c>
      <c r="E111" s="31">
        <v>0</v>
      </c>
      <c r="F111" s="31"/>
      <c r="G111" s="31">
        <v>0</v>
      </c>
      <c r="H111" s="31">
        <v>0</v>
      </c>
      <c r="I111" s="31"/>
      <c r="J111" s="31">
        <f>E111+F111+G111+H111</f>
        <v>0</v>
      </c>
      <c r="K111" s="104"/>
    </row>
    <row r="112" spans="1:11" x14ac:dyDescent="0.2">
      <c r="A112" s="82"/>
      <c r="B112" s="94"/>
      <c r="C112" s="95"/>
      <c r="D112" s="98"/>
      <c r="E112" s="34"/>
      <c r="F112" s="34"/>
      <c r="G112" s="34"/>
      <c r="H112" s="34"/>
      <c r="I112" s="34"/>
      <c r="J112" s="34"/>
      <c r="K112" s="105"/>
    </row>
    <row r="113" spans="1:11" x14ac:dyDescent="0.2">
      <c r="A113" s="99">
        <v>722</v>
      </c>
      <c r="B113" s="100"/>
      <c r="C113" s="101" t="s">
        <v>545</v>
      </c>
      <c r="D113" s="102" t="s">
        <v>546</v>
      </c>
      <c r="E113" s="31">
        <f>E114+E115+E116</f>
        <v>0</v>
      </c>
      <c r="F113" s="31">
        <f>F114+F115+F116</f>
        <v>0</v>
      </c>
      <c r="G113" s="31">
        <f>G114+G115+G116</f>
        <v>0</v>
      </c>
      <c r="H113" s="31">
        <f>H114+H115+H116</f>
        <v>0</v>
      </c>
      <c r="I113" s="31">
        <f>I114+I115+I116</f>
        <v>0</v>
      </c>
      <c r="J113" s="31">
        <f>E113+F113+G113+H113</f>
        <v>0</v>
      </c>
      <c r="K113" s="103" t="e">
        <f>J113/J$175*100</f>
        <v>#REF!</v>
      </c>
    </row>
    <row r="114" spans="1:11" x14ac:dyDescent="0.2">
      <c r="A114" s="99">
        <v>7220</v>
      </c>
      <c r="B114" s="100"/>
      <c r="C114" s="101" t="s">
        <v>547</v>
      </c>
      <c r="D114" s="102" t="s">
        <v>548</v>
      </c>
      <c r="E114" s="31"/>
      <c r="F114" s="31"/>
      <c r="G114" s="31">
        <v>0</v>
      </c>
      <c r="H114" s="31">
        <v>0</v>
      </c>
      <c r="I114" s="31"/>
      <c r="J114" s="31">
        <f>E114+F114+G114+H114</f>
        <v>0</v>
      </c>
      <c r="K114" s="104"/>
    </row>
    <row r="115" spans="1:11" x14ac:dyDescent="0.2">
      <c r="A115" s="99">
        <v>7221</v>
      </c>
      <c r="B115" s="100"/>
      <c r="C115" s="101" t="s">
        <v>549</v>
      </c>
      <c r="D115" s="102" t="s">
        <v>550</v>
      </c>
      <c r="E115" s="31"/>
      <c r="F115" s="31"/>
      <c r="G115" s="31">
        <v>0</v>
      </c>
      <c r="H115" s="31">
        <v>0</v>
      </c>
      <c r="I115" s="31"/>
      <c r="J115" s="31">
        <f>E115+F115+G115+H115</f>
        <v>0</v>
      </c>
      <c r="K115" s="104"/>
    </row>
    <row r="116" spans="1:11" x14ac:dyDescent="0.2">
      <c r="A116" s="99">
        <v>7222</v>
      </c>
      <c r="B116" s="100"/>
      <c r="C116" s="101" t="s">
        <v>551</v>
      </c>
      <c r="D116" s="102" t="s">
        <v>552</v>
      </c>
      <c r="E116" s="31"/>
      <c r="F116" s="31"/>
      <c r="G116" s="31">
        <v>0</v>
      </c>
      <c r="H116" s="31">
        <v>0</v>
      </c>
      <c r="I116" s="31"/>
      <c r="J116" s="31">
        <f>E116+F116+G116+H116</f>
        <v>0</v>
      </c>
      <c r="K116" s="104"/>
    </row>
    <row r="117" spans="1:11" x14ac:dyDescent="0.2">
      <c r="A117" s="82"/>
      <c r="B117" s="94"/>
      <c r="C117" s="95"/>
      <c r="D117" s="98" t="s">
        <v>462</v>
      </c>
      <c r="E117" s="86"/>
      <c r="F117" s="86"/>
      <c r="G117" s="86"/>
      <c r="H117" s="86"/>
      <c r="I117" s="86"/>
      <c r="J117" s="86"/>
      <c r="K117" s="87"/>
    </row>
    <row r="118" spans="1:11" ht="15.75" x14ac:dyDescent="0.25">
      <c r="A118" s="88">
        <v>73</v>
      </c>
      <c r="B118" s="89"/>
      <c r="C118" s="90" t="s">
        <v>553</v>
      </c>
      <c r="D118" s="91" t="s">
        <v>554</v>
      </c>
      <c r="E118" s="32">
        <f>E121+E125</f>
        <v>0</v>
      </c>
      <c r="F118" s="32">
        <f>F121+F125</f>
        <v>0</v>
      </c>
      <c r="G118" s="32">
        <f>G121+G125</f>
        <v>0</v>
      </c>
      <c r="H118" s="32">
        <f>H121+H125</f>
        <v>0</v>
      </c>
      <c r="I118" s="32">
        <f>I121+I125</f>
        <v>0</v>
      </c>
      <c r="J118" s="32">
        <f>E118+F118+G118+H118</f>
        <v>0</v>
      </c>
      <c r="K118" s="92" t="e">
        <f>J118/J$175*100</f>
        <v>#REF!</v>
      </c>
    </row>
    <row r="119" spans="1:11" ht="15.75" x14ac:dyDescent="0.25">
      <c r="A119" s="88"/>
      <c r="B119" s="89"/>
      <c r="C119" s="96" t="s">
        <v>555</v>
      </c>
      <c r="D119" s="97" t="s">
        <v>555</v>
      </c>
      <c r="E119" s="86"/>
      <c r="F119" s="86"/>
      <c r="G119" s="86"/>
      <c r="H119" s="86"/>
      <c r="I119" s="86"/>
      <c r="J119" s="86"/>
      <c r="K119" s="87"/>
    </row>
    <row r="120" spans="1:11" x14ac:dyDescent="0.2">
      <c r="A120" s="82"/>
      <c r="B120" s="94"/>
      <c r="C120" s="95"/>
      <c r="D120" s="98"/>
      <c r="E120" s="86"/>
      <c r="F120" s="86"/>
      <c r="G120" s="86"/>
      <c r="H120" s="86"/>
      <c r="I120" s="86"/>
      <c r="J120" s="86"/>
      <c r="K120" s="87"/>
    </row>
    <row r="121" spans="1:11" x14ac:dyDescent="0.2">
      <c r="A121" s="99">
        <v>730</v>
      </c>
      <c r="B121" s="100"/>
      <c r="C121" s="101" t="s">
        <v>556</v>
      </c>
      <c r="D121" s="102" t="s">
        <v>557</v>
      </c>
      <c r="E121" s="31">
        <f t="shared" ref="E121:J121" si="14">E122+E123</f>
        <v>0</v>
      </c>
      <c r="F121" s="31">
        <f t="shared" si="14"/>
        <v>0</v>
      </c>
      <c r="G121" s="31">
        <f t="shared" si="14"/>
        <v>0</v>
      </c>
      <c r="H121" s="31">
        <f t="shared" si="14"/>
        <v>0</v>
      </c>
      <c r="I121" s="31">
        <f t="shared" si="14"/>
        <v>0</v>
      </c>
      <c r="J121" s="31">
        <f t="shared" si="14"/>
        <v>0</v>
      </c>
      <c r="K121" s="103" t="e">
        <f>J121/J$175*100</f>
        <v>#REF!</v>
      </c>
    </row>
    <row r="122" spans="1:11" x14ac:dyDescent="0.2">
      <c r="A122" s="99">
        <v>7300</v>
      </c>
      <c r="B122" s="100"/>
      <c r="C122" s="101" t="s">
        <v>558</v>
      </c>
      <c r="D122" s="102" t="s">
        <v>559</v>
      </c>
      <c r="E122" s="31">
        <v>0</v>
      </c>
      <c r="F122" s="31"/>
      <c r="G122" s="31">
        <v>0</v>
      </c>
      <c r="H122" s="31">
        <v>0</v>
      </c>
      <c r="I122" s="31"/>
      <c r="J122" s="31">
        <f>E122+F122+G122+H122</f>
        <v>0</v>
      </c>
      <c r="K122" s="103" t="e">
        <f>J122/J$175*100</f>
        <v>#REF!</v>
      </c>
    </row>
    <row r="123" spans="1:11" x14ac:dyDescent="0.2">
      <c r="A123" s="99">
        <v>7301</v>
      </c>
      <c r="B123" s="100"/>
      <c r="C123" s="101" t="s">
        <v>560</v>
      </c>
      <c r="D123" s="102" t="s">
        <v>561</v>
      </c>
      <c r="E123" s="31">
        <v>0</v>
      </c>
      <c r="F123" s="31">
        <v>0</v>
      </c>
      <c r="G123" s="31">
        <v>0</v>
      </c>
      <c r="H123" s="31">
        <v>0</v>
      </c>
      <c r="I123" s="31"/>
      <c r="J123" s="31">
        <f>E123+F123+G123+H123</f>
        <v>0</v>
      </c>
      <c r="K123" s="103" t="e">
        <f>J123/J$175*100</f>
        <v>#REF!</v>
      </c>
    </row>
    <row r="124" spans="1:11" x14ac:dyDescent="0.2">
      <c r="A124" s="82"/>
      <c r="B124" s="94"/>
      <c r="C124" s="95"/>
      <c r="D124" s="98"/>
      <c r="E124" s="34"/>
      <c r="F124" s="34"/>
      <c r="G124" s="34"/>
      <c r="H124" s="34"/>
      <c r="I124" s="34"/>
      <c r="J124" s="34"/>
      <c r="K124" s="105"/>
    </row>
    <row r="125" spans="1:11" x14ac:dyDescent="0.2">
      <c r="A125" s="99">
        <v>731</v>
      </c>
      <c r="B125" s="100"/>
      <c r="C125" s="101" t="s">
        <v>563</v>
      </c>
      <c r="D125" s="102" t="s">
        <v>564</v>
      </c>
      <c r="E125" s="31">
        <f>E126+E127</f>
        <v>0</v>
      </c>
      <c r="F125" s="31">
        <f>F126+F127</f>
        <v>0</v>
      </c>
      <c r="G125" s="31">
        <f>G126+G127</f>
        <v>0</v>
      </c>
      <c r="H125" s="31">
        <f>H126+H127</f>
        <v>0</v>
      </c>
      <c r="I125" s="31">
        <f>I126+I127</f>
        <v>0</v>
      </c>
      <c r="J125" s="31">
        <f>E125+F125+G125+H125</f>
        <v>0</v>
      </c>
      <c r="K125" s="103" t="e">
        <f>J125/J$175*100</f>
        <v>#REF!</v>
      </c>
    </row>
    <row r="126" spans="1:11" x14ac:dyDescent="0.2">
      <c r="A126" s="99">
        <v>7310</v>
      </c>
      <c r="B126" s="100"/>
      <c r="C126" s="101" t="s">
        <v>565</v>
      </c>
      <c r="D126" s="102" t="s">
        <v>566</v>
      </c>
      <c r="E126" s="31"/>
      <c r="F126" s="31"/>
      <c r="G126" s="31">
        <v>0</v>
      </c>
      <c r="H126" s="31">
        <v>0</v>
      </c>
      <c r="I126" s="31"/>
      <c r="J126" s="31">
        <f>E126+F126+G126+H126</f>
        <v>0</v>
      </c>
      <c r="K126" s="103" t="e">
        <f>J126/J$175*100</f>
        <v>#REF!</v>
      </c>
    </row>
    <row r="127" spans="1:11" x14ac:dyDescent="0.2">
      <c r="A127" s="99">
        <v>7311</v>
      </c>
      <c r="B127" s="100"/>
      <c r="C127" s="101" t="s">
        <v>567</v>
      </c>
      <c r="D127" s="102" t="s">
        <v>568</v>
      </c>
      <c r="E127" s="31"/>
      <c r="F127" s="31"/>
      <c r="G127" s="31">
        <v>0</v>
      </c>
      <c r="H127" s="31">
        <v>0</v>
      </c>
      <c r="I127" s="31"/>
      <c r="J127" s="31">
        <f>E127+F127+G127+H127</f>
        <v>0</v>
      </c>
      <c r="K127" s="103" t="e">
        <f>J127/J$175*100</f>
        <v>#REF!</v>
      </c>
    </row>
    <row r="128" spans="1:11" x14ac:dyDescent="0.2">
      <c r="A128" s="82"/>
      <c r="B128" s="94"/>
      <c r="C128" s="95"/>
      <c r="D128" s="98"/>
      <c r="E128" s="86"/>
      <c r="F128" s="86"/>
      <c r="G128" s="86"/>
      <c r="H128" s="86"/>
      <c r="I128" s="86"/>
      <c r="J128" s="86"/>
      <c r="K128" s="87"/>
    </row>
    <row r="129" spans="1:11" ht="15.75" x14ac:dyDescent="0.25">
      <c r="A129" s="69">
        <v>74</v>
      </c>
      <c r="B129" s="70"/>
      <c r="C129" s="77" t="s">
        <v>569</v>
      </c>
      <c r="D129" s="91" t="s">
        <v>570</v>
      </c>
      <c r="E129" s="73">
        <f>E131</f>
        <v>0</v>
      </c>
      <c r="F129" s="73">
        <f>F131</f>
        <v>0</v>
      </c>
      <c r="G129" s="73">
        <f>G131</f>
        <v>0</v>
      </c>
      <c r="H129" s="73">
        <f>H131</f>
        <v>0</v>
      </c>
      <c r="I129" s="73">
        <f>I131</f>
        <v>0</v>
      </c>
      <c r="J129" s="73">
        <f>+J131</f>
        <v>0</v>
      </c>
      <c r="K129" s="92" t="e">
        <f>J129/J$175*100</f>
        <v>#REF!</v>
      </c>
    </row>
    <row r="130" spans="1:11" ht="15.75" x14ac:dyDescent="0.25">
      <c r="A130" s="69"/>
      <c r="B130" s="70"/>
      <c r="C130" s="112"/>
      <c r="D130" s="97" t="s">
        <v>462</v>
      </c>
      <c r="E130" s="113"/>
      <c r="F130" s="113"/>
      <c r="G130" s="113"/>
      <c r="H130" s="113"/>
      <c r="I130" s="113"/>
      <c r="J130" s="113"/>
      <c r="K130" s="87"/>
    </row>
    <row r="131" spans="1:11" x14ac:dyDescent="0.2">
      <c r="A131" s="106">
        <v>740</v>
      </c>
      <c r="B131" s="107"/>
      <c r="C131" s="108" t="s">
        <v>571</v>
      </c>
      <c r="D131" s="102" t="s">
        <v>572</v>
      </c>
      <c r="E131" s="109">
        <f>E133+E134+E135+E136</f>
        <v>0</v>
      </c>
      <c r="F131" s="109">
        <f>F133+F134+F135+F136</f>
        <v>0</v>
      </c>
      <c r="G131" s="109">
        <f>G133+G134+G135+G136</f>
        <v>0</v>
      </c>
      <c r="H131" s="109">
        <f>H133+H134+H135+H136</f>
        <v>0</v>
      </c>
      <c r="I131" s="109">
        <f>I133+I134+I135+I136</f>
        <v>0</v>
      </c>
      <c r="J131" s="109">
        <f>SUM(J133:J136)</f>
        <v>0</v>
      </c>
      <c r="K131" s="103" t="e">
        <f>J131/J$175*100</f>
        <v>#REF!</v>
      </c>
    </row>
    <row r="132" spans="1:11" x14ac:dyDescent="0.2">
      <c r="A132" s="114"/>
      <c r="B132" s="115"/>
      <c r="C132" s="112" t="s">
        <v>573</v>
      </c>
      <c r="D132" s="97" t="s">
        <v>574</v>
      </c>
      <c r="E132" s="116"/>
      <c r="F132" s="116"/>
      <c r="G132" s="116"/>
      <c r="H132" s="116"/>
      <c r="I132" s="116"/>
      <c r="J132" s="116"/>
      <c r="K132" s="105"/>
    </row>
    <row r="133" spans="1:11" x14ac:dyDescent="0.2">
      <c r="A133" s="106">
        <v>7400</v>
      </c>
      <c r="B133" s="107"/>
      <c r="C133" s="108" t="s">
        <v>575</v>
      </c>
      <c r="D133" s="102" t="s">
        <v>576</v>
      </c>
      <c r="E133" s="117"/>
      <c r="F133" s="117"/>
      <c r="G133" s="117"/>
      <c r="H133" s="117"/>
      <c r="I133" s="428">
        <f>E133+F133+G133+H133</f>
        <v>0</v>
      </c>
      <c r="J133" s="109">
        <f>E133+F133+G133+H133-I133</f>
        <v>0</v>
      </c>
      <c r="K133" s="104"/>
    </row>
    <row r="134" spans="1:11" x14ac:dyDescent="0.2">
      <c r="A134" s="106">
        <v>7401</v>
      </c>
      <c r="B134" s="107"/>
      <c r="C134" s="108" t="s">
        <v>577</v>
      </c>
      <c r="D134" s="102" t="s">
        <v>578</v>
      </c>
      <c r="E134" s="109"/>
      <c r="F134" s="117"/>
      <c r="G134" s="109"/>
      <c r="H134" s="117"/>
      <c r="I134" s="428">
        <f>E134+F134+G134+H134</f>
        <v>0</v>
      </c>
      <c r="J134" s="109">
        <f>E134+F134+G134+H134-I134</f>
        <v>0</v>
      </c>
      <c r="K134" s="104"/>
    </row>
    <row r="135" spans="1:11" x14ac:dyDescent="0.2">
      <c r="A135" s="106">
        <v>7402</v>
      </c>
      <c r="B135" s="107"/>
      <c r="C135" s="108" t="s">
        <v>579</v>
      </c>
      <c r="D135" s="102" t="s">
        <v>580</v>
      </c>
      <c r="E135" s="117"/>
      <c r="F135" s="117"/>
      <c r="G135" s="117"/>
      <c r="H135" s="117"/>
      <c r="I135" s="428">
        <f>E135+F135+G135+H135</f>
        <v>0</v>
      </c>
      <c r="J135" s="109">
        <f>E135+F135+G135+H135-I135</f>
        <v>0</v>
      </c>
      <c r="K135" s="104"/>
    </row>
    <row r="136" spans="1:11" x14ac:dyDescent="0.2">
      <c r="A136" s="106">
        <v>7403</v>
      </c>
      <c r="B136" s="107"/>
      <c r="C136" s="108" t="s">
        <v>581</v>
      </c>
      <c r="D136" s="102" t="s">
        <v>582</v>
      </c>
      <c r="E136" s="109"/>
      <c r="F136" s="109"/>
      <c r="G136" s="109"/>
      <c r="H136" s="109"/>
      <c r="I136" s="109">
        <v>0</v>
      </c>
      <c r="J136" s="109">
        <f>E136+F136+G136+H136-I136</f>
        <v>0</v>
      </c>
      <c r="K136" s="103" t="e">
        <f>J136/J$175*100</f>
        <v>#REF!</v>
      </c>
    </row>
    <row r="137" spans="1:11" s="423" customFormat="1" x14ac:dyDescent="0.2">
      <c r="A137" s="204"/>
      <c r="B137" s="205"/>
      <c r="C137" s="206"/>
      <c r="D137" s="432"/>
      <c r="E137" s="383"/>
      <c r="F137" s="383"/>
      <c r="G137" s="383"/>
      <c r="H137" s="383"/>
      <c r="I137" s="383"/>
      <c r="J137" s="383"/>
      <c r="K137" s="433"/>
    </row>
    <row r="138" spans="1:11" ht="15.75" x14ac:dyDescent="0.25">
      <c r="A138" s="88">
        <v>78</v>
      </c>
      <c r="B138" s="89"/>
      <c r="C138" s="90" t="s">
        <v>884</v>
      </c>
      <c r="D138" s="91"/>
      <c r="E138" s="32">
        <f>+E140+E145+E150+E156+E159+E163+E167+E170</f>
        <v>0</v>
      </c>
      <c r="F138" s="32"/>
      <c r="G138" s="32"/>
      <c r="H138" s="32"/>
      <c r="I138" s="32"/>
      <c r="J138" s="32">
        <f>+J140+J145+J150+J156+J159+J163+J167+J170</f>
        <v>0</v>
      </c>
      <c r="K138" s="103" t="e">
        <f>J138/J$175*100</f>
        <v>#REF!</v>
      </c>
    </row>
    <row r="139" spans="1:11" s="423" customFormat="1" x14ac:dyDescent="0.2">
      <c r="A139" s="204"/>
      <c r="B139" s="205"/>
      <c r="C139" s="206"/>
      <c r="D139" s="432"/>
      <c r="E139" s="383"/>
      <c r="F139" s="383"/>
      <c r="G139" s="383"/>
      <c r="H139" s="383"/>
      <c r="I139" s="383"/>
      <c r="J139" s="383"/>
      <c r="K139" s="433"/>
    </row>
    <row r="140" spans="1:11" s="423" customFormat="1" x14ac:dyDescent="0.2">
      <c r="A140" s="204">
        <v>780</v>
      </c>
      <c r="B140" s="205"/>
      <c r="C140" s="206" t="s">
        <v>885</v>
      </c>
      <c r="D140" s="432"/>
      <c r="E140" s="383"/>
      <c r="F140" s="383"/>
      <c r="G140" s="383"/>
      <c r="H140" s="383"/>
      <c r="I140" s="383"/>
      <c r="J140" s="383">
        <f>+E140+F140+G140+H140-I140</f>
        <v>0</v>
      </c>
      <c r="K140" s="103" t="e">
        <f>J140/J$175*100</f>
        <v>#REF!</v>
      </c>
    </row>
    <row r="141" spans="1:11" s="423" customFormat="1" x14ac:dyDescent="0.2">
      <c r="A141" s="204">
        <v>7800</v>
      </c>
      <c r="B141" s="205"/>
      <c r="C141" s="206" t="s">
        <v>886</v>
      </c>
      <c r="D141" s="432"/>
      <c r="E141" s="383"/>
      <c r="F141" s="383"/>
      <c r="G141" s="383"/>
      <c r="H141" s="383"/>
      <c r="I141" s="383"/>
      <c r="J141" s="383"/>
      <c r="K141" s="433"/>
    </row>
    <row r="142" spans="1:11" s="423" customFormat="1" x14ac:dyDescent="0.2">
      <c r="A142" s="204">
        <v>7801</v>
      </c>
      <c r="B142" s="205"/>
      <c r="C142" s="206" t="s">
        <v>887</v>
      </c>
      <c r="D142" s="432"/>
      <c r="E142" s="383"/>
      <c r="F142" s="383"/>
      <c r="G142" s="383"/>
      <c r="H142" s="383"/>
      <c r="I142" s="383"/>
      <c r="J142" s="383"/>
      <c r="K142" s="433"/>
    </row>
    <row r="143" spans="1:11" s="423" customFormat="1" x14ac:dyDescent="0.2">
      <c r="A143" s="204">
        <v>7802</v>
      </c>
      <c r="B143" s="205"/>
      <c r="C143" s="206" t="s">
        <v>888</v>
      </c>
      <c r="D143" s="432"/>
      <c r="E143" s="383"/>
      <c r="F143" s="383"/>
      <c r="G143" s="383"/>
      <c r="H143" s="383"/>
      <c r="I143" s="383"/>
      <c r="J143" s="383"/>
      <c r="K143" s="433"/>
    </row>
    <row r="144" spans="1:11" s="423" customFormat="1" x14ac:dyDescent="0.2">
      <c r="A144" s="204"/>
      <c r="B144" s="205"/>
      <c r="C144" s="206"/>
      <c r="D144" s="432"/>
      <c r="E144" s="383"/>
      <c r="F144" s="383"/>
      <c r="G144" s="383"/>
      <c r="H144" s="383"/>
      <c r="I144" s="383"/>
      <c r="J144" s="383"/>
      <c r="K144" s="433"/>
    </row>
    <row r="145" spans="1:11" s="423" customFormat="1" x14ac:dyDescent="0.2">
      <c r="A145" s="204">
        <v>781</v>
      </c>
      <c r="B145" s="205"/>
      <c r="C145" s="206" t="s">
        <v>894</v>
      </c>
      <c r="D145" s="432"/>
      <c r="E145" s="383"/>
      <c r="F145" s="383"/>
      <c r="G145" s="383"/>
      <c r="H145" s="383"/>
      <c r="I145" s="383"/>
      <c r="J145" s="383">
        <f>+E145+F145+G145+H145-I145</f>
        <v>0</v>
      </c>
      <c r="K145" s="103" t="e">
        <f>J145/J$175*100</f>
        <v>#REF!</v>
      </c>
    </row>
    <row r="146" spans="1:11" s="423" customFormat="1" x14ac:dyDescent="0.2">
      <c r="A146" s="204">
        <v>7810</v>
      </c>
      <c r="B146" s="205"/>
      <c r="C146" s="206" t="s">
        <v>889</v>
      </c>
      <c r="D146" s="432"/>
      <c r="E146" s="383"/>
      <c r="F146" s="383"/>
      <c r="G146" s="383"/>
      <c r="H146" s="383"/>
      <c r="I146" s="383"/>
      <c r="J146" s="383"/>
      <c r="K146" s="433"/>
    </row>
    <row r="147" spans="1:11" s="423" customFormat="1" x14ac:dyDescent="0.2">
      <c r="A147" s="204">
        <v>7811</v>
      </c>
      <c r="B147" s="205"/>
      <c r="C147" s="206" t="s">
        <v>890</v>
      </c>
      <c r="D147" s="432"/>
      <c r="E147" s="383"/>
      <c r="F147" s="383"/>
      <c r="G147" s="383"/>
      <c r="H147" s="383"/>
      <c r="I147" s="383"/>
      <c r="J147" s="383"/>
      <c r="K147" s="433"/>
    </row>
    <row r="148" spans="1:11" s="423" customFormat="1" x14ac:dyDescent="0.2">
      <c r="A148" s="204">
        <v>7812</v>
      </c>
      <c r="B148" s="205"/>
      <c r="C148" s="206" t="s">
        <v>893</v>
      </c>
      <c r="D148" s="432"/>
      <c r="E148" s="383"/>
      <c r="F148" s="383"/>
      <c r="G148" s="383"/>
      <c r="H148" s="383"/>
      <c r="I148" s="383"/>
      <c r="J148" s="383"/>
      <c r="K148" s="433"/>
    </row>
    <row r="149" spans="1:11" s="423" customFormat="1" x14ac:dyDescent="0.2">
      <c r="A149" s="204"/>
      <c r="B149" s="205"/>
      <c r="C149" s="206"/>
      <c r="D149" s="432"/>
      <c r="E149" s="383"/>
      <c r="F149" s="383"/>
      <c r="G149" s="383"/>
      <c r="H149" s="383"/>
      <c r="I149" s="383"/>
      <c r="J149" s="383"/>
      <c r="K149" s="433"/>
    </row>
    <row r="150" spans="1:11" s="423" customFormat="1" x14ac:dyDescent="0.2">
      <c r="A150" s="204">
        <v>782</v>
      </c>
      <c r="B150" s="205"/>
      <c r="C150" s="206" t="s">
        <v>900</v>
      </c>
      <c r="D150" s="432"/>
      <c r="E150" s="383"/>
      <c r="F150" s="383"/>
      <c r="G150" s="383"/>
      <c r="H150" s="383"/>
      <c r="I150" s="383"/>
      <c r="J150" s="383">
        <f>+E150+F150+G150+H150-I150</f>
        <v>0</v>
      </c>
      <c r="K150" s="103" t="e">
        <f>J150/J$175*100</f>
        <v>#REF!</v>
      </c>
    </row>
    <row r="151" spans="1:11" s="423" customFormat="1" x14ac:dyDescent="0.2">
      <c r="A151" s="204">
        <v>7820</v>
      </c>
      <c r="B151" s="205"/>
      <c r="C151" s="206" t="s">
        <v>896</v>
      </c>
      <c r="D151" s="432"/>
      <c r="E151" s="383"/>
      <c r="F151" s="383"/>
      <c r="G151" s="383"/>
      <c r="H151" s="383"/>
      <c r="I151" s="383"/>
      <c r="J151" s="383"/>
      <c r="K151" s="433"/>
    </row>
    <row r="152" spans="1:11" s="423" customFormat="1" x14ac:dyDescent="0.2">
      <c r="A152" s="204">
        <v>7821</v>
      </c>
      <c r="B152" s="205"/>
      <c r="C152" s="206" t="s">
        <v>897</v>
      </c>
      <c r="D152" s="432"/>
      <c r="E152" s="383"/>
      <c r="F152" s="383"/>
      <c r="G152" s="383"/>
      <c r="H152" s="383"/>
      <c r="I152" s="383"/>
      <c r="J152" s="383"/>
      <c r="K152" s="433"/>
    </row>
    <row r="153" spans="1:11" s="423" customFormat="1" x14ac:dyDescent="0.2">
      <c r="A153" s="204">
        <v>7822</v>
      </c>
      <c r="B153" s="205"/>
      <c r="C153" s="206" t="s">
        <v>898</v>
      </c>
      <c r="D153" s="432"/>
      <c r="E153" s="383"/>
      <c r="F153" s="383"/>
      <c r="G153" s="383"/>
      <c r="H153" s="383"/>
      <c r="I153" s="383"/>
      <c r="J153" s="383"/>
      <c r="K153" s="433"/>
    </row>
    <row r="154" spans="1:11" s="423" customFormat="1" x14ac:dyDescent="0.2">
      <c r="A154" s="204">
        <v>7823</v>
      </c>
      <c r="B154" s="205"/>
      <c r="C154" s="206" t="s">
        <v>899</v>
      </c>
      <c r="D154" s="432"/>
      <c r="E154" s="383"/>
      <c r="F154" s="383"/>
      <c r="G154" s="383"/>
      <c r="H154" s="383"/>
      <c r="I154" s="383"/>
      <c r="J154" s="383"/>
      <c r="K154" s="433"/>
    </row>
    <row r="155" spans="1:11" s="423" customFormat="1" x14ac:dyDescent="0.2">
      <c r="A155" s="204"/>
      <c r="B155" s="205"/>
      <c r="C155" s="206"/>
      <c r="D155" s="432"/>
      <c r="E155" s="383"/>
      <c r="F155" s="383"/>
      <c r="G155" s="383"/>
      <c r="H155" s="383"/>
      <c r="I155" s="383"/>
      <c r="J155" s="383"/>
      <c r="K155" s="433"/>
    </row>
    <row r="156" spans="1:11" s="423" customFormat="1" x14ac:dyDescent="0.2">
      <c r="A156" s="204">
        <v>783</v>
      </c>
      <c r="B156" s="205"/>
      <c r="C156" s="206" t="s">
        <v>902</v>
      </c>
      <c r="D156" s="432"/>
      <c r="E156" s="383"/>
      <c r="F156" s="383"/>
      <c r="G156" s="383"/>
      <c r="H156" s="383"/>
      <c r="I156" s="383"/>
      <c r="J156" s="383">
        <f>+E156+F156+G156+H156-I156</f>
        <v>0</v>
      </c>
      <c r="K156" s="103" t="e">
        <f>J156/J$175*100</f>
        <v>#REF!</v>
      </c>
    </row>
    <row r="157" spans="1:11" s="423" customFormat="1" x14ac:dyDescent="0.2">
      <c r="A157" s="204">
        <v>7830</v>
      </c>
      <c r="B157" s="205"/>
      <c r="C157" s="206" t="s">
        <v>901</v>
      </c>
      <c r="D157" s="432"/>
      <c r="E157" s="383"/>
      <c r="F157" s="383"/>
      <c r="G157" s="383"/>
      <c r="H157" s="383"/>
      <c r="I157" s="383"/>
      <c r="J157" s="383"/>
      <c r="K157" s="433"/>
    </row>
    <row r="158" spans="1:11" s="423" customFormat="1" x14ac:dyDescent="0.2">
      <c r="A158" s="204"/>
      <c r="B158" s="205"/>
      <c r="C158" s="206"/>
      <c r="D158" s="432"/>
      <c r="E158" s="383"/>
      <c r="F158" s="383"/>
      <c r="G158" s="383"/>
      <c r="H158" s="383"/>
      <c r="I158" s="383"/>
      <c r="J158" s="383"/>
      <c r="K158" s="433"/>
    </row>
    <row r="159" spans="1:11" s="423" customFormat="1" x14ac:dyDescent="0.2">
      <c r="A159" s="204">
        <v>784</v>
      </c>
      <c r="B159" s="205"/>
      <c r="C159" s="206" t="s">
        <v>905</v>
      </c>
      <c r="D159" s="432"/>
      <c r="E159" s="383"/>
      <c r="F159" s="383"/>
      <c r="G159" s="383"/>
      <c r="H159" s="383"/>
      <c r="I159" s="383"/>
      <c r="J159" s="383">
        <f>+E159+F159+G159+H159-I159</f>
        <v>0</v>
      </c>
      <c r="K159" s="103" t="e">
        <f>J159/J$175*100</f>
        <v>#REF!</v>
      </c>
    </row>
    <row r="160" spans="1:11" s="423" customFormat="1" x14ac:dyDescent="0.2">
      <c r="A160" s="204">
        <v>7840</v>
      </c>
      <c r="B160" s="205"/>
      <c r="C160" s="206" t="s">
        <v>903</v>
      </c>
      <c r="D160" s="432"/>
      <c r="E160" s="383"/>
      <c r="F160" s="383"/>
      <c r="G160" s="383"/>
      <c r="H160" s="383"/>
      <c r="I160" s="383"/>
      <c r="J160" s="383"/>
      <c r="K160" s="433"/>
    </row>
    <row r="161" spans="1:11" s="423" customFormat="1" x14ac:dyDescent="0.2">
      <c r="A161" s="204">
        <v>7841</v>
      </c>
      <c r="B161" s="205"/>
      <c r="C161" s="206" t="s">
        <v>904</v>
      </c>
      <c r="D161" s="432"/>
      <c r="E161" s="383"/>
      <c r="F161" s="383"/>
      <c r="G161" s="383"/>
      <c r="H161" s="383"/>
      <c r="I161" s="383"/>
      <c r="J161" s="383"/>
      <c r="K161" s="433"/>
    </row>
    <row r="162" spans="1:11" s="423" customFormat="1" x14ac:dyDescent="0.2">
      <c r="A162" s="204"/>
      <c r="B162" s="205"/>
      <c r="C162" s="206"/>
      <c r="D162" s="432"/>
      <c r="E162" s="383"/>
      <c r="F162" s="383"/>
      <c r="G162" s="383"/>
      <c r="H162" s="383"/>
      <c r="I162" s="383"/>
      <c r="J162" s="383"/>
      <c r="K162" s="433"/>
    </row>
    <row r="163" spans="1:11" s="423" customFormat="1" x14ac:dyDescent="0.2">
      <c r="A163" s="204">
        <v>785</v>
      </c>
      <c r="B163" s="205"/>
      <c r="C163" s="206" t="s">
        <v>908</v>
      </c>
      <c r="D163" s="432"/>
      <c r="E163" s="383"/>
      <c r="F163" s="383"/>
      <c r="G163" s="383"/>
      <c r="H163" s="383"/>
      <c r="I163" s="383"/>
      <c r="J163" s="383">
        <f>+E163+F163+G163+H163-I163</f>
        <v>0</v>
      </c>
      <c r="K163" s="103" t="e">
        <f>J163/J$175*100</f>
        <v>#REF!</v>
      </c>
    </row>
    <row r="164" spans="1:11" s="423" customFormat="1" x14ac:dyDescent="0.2">
      <c r="A164" s="204">
        <v>7850</v>
      </c>
      <c r="B164" s="205"/>
      <c r="C164" s="206" t="s">
        <v>906</v>
      </c>
      <c r="D164" s="432"/>
      <c r="E164" s="383"/>
      <c r="F164" s="383"/>
      <c r="G164" s="383"/>
      <c r="H164" s="383"/>
      <c r="I164" s="383"/>
      <c r="J164" s="383"/>
      <c r="K164" s="433"/>
    </row>
    <row r="165" spans="1:11" s="423" customFormat="1" x14ac:dyDescent="0.2">
      <c r="A165" s="204">
        <v>7851</v>
      </c>
      <c r="B165" s="205"/>
      <c r="C165" s="206" t="s">
        <v>907</v>
      </c>
      <c r="D165" s="432"/>
      <c r="E165" s="383"/>
      <c r="F165" s="383"/>
      <c r="G165" s="383"/>
      <c r="H165" s="383"/>
      <c r="I165" s="383"/>
      <c r="J165" s="383"/>
      <c r="K165" s="433"/>
    </row>
    <row r="166" spans="1:11" s="423" customFormat="1" x14ac:dyDescent="0.2">
      <c r="A166" s="204"/>
      <c r="B166" s="205"/>
      <c r="C166" s="206"/>
      <c r="D166" s="432"/>
      <c r="E166" s="383"/>
      <c r="F166" s="383"/>
      <c r="G166" s="383"/>
      <c r="H166" s="383"/>
      <c r="I166" s="383"/>
      <c r="J166" s="383"/>
      <c r="K166" s="433"/>
    </row>
    <row r="167" spans="1:11" s="423" customFormat="1" x14ac:dyDescent="0.2">
      <c r="A167" s="204">
        <v>786</v>
      </c>
      <c r="B167" s="205"/>
      <c r="C167" s="206" t="s">
        <v>910</v>
      </c>
      <c r="D167" s="432"/>
      <c r="E167" s="383"/>
      <c r="F167" s="383"/>
      <c r="G167" s="383"/>
      <c r="H167" s="383"/>
      <c r="I167" s="383"/>
      <c r="J167" s="383">
        <f>+E167+F167+G167+H167-I167</f>
        <v>0</v>
      </c>
      <c r="K167" s="103" t="e">
        <f>J167/J$175*100</f>
        <v>#REF!</v>
      </c>
    </row>
    <row r="168" spans="1:11" s="423" customFormat="1" x14ac:dyDescent="0.2">
      <c r="A168" s="204">
        <v>7860</v>
      </c>
      <c r="B168" s="205"/>
      <c r="C168" s="206" t="s">
        <v>909</v>
      </c>
      <c r="D168" s="432"/>
      <c r="E168" s="383"/>
      <c r="F168" s="383"/>
      <c r="G168" s="383"/>
      <c r="H168" s="383"/>
      <c r="I168" s="383"/>
      <c r="J168" s="383"/>
      <c r="K168" s="433"/>
    </row>
    <row r="169" spans="1:11" s="423" customFormat="1" x14ac:dyDescent="0.2">
      <c r="A169" s="204"/>
      <c r="B169" s="205"/>
      <c r="C169" s="206"/>
      <c r="D169" s="432"/>
      <c r="E169" s="383"/>
      <c r="F169" s="383"/>
      <c r="G169" s="383"/>
      <c r="H169" s="383"/>
      <c r="I169" s="383"/>
      <c r="J169" s="383"/>
      <c r="K169" s="433"/>
    </row>
    <row r="170" spans="1:11" s="423" customFormat="1" x14ac:dyDescent="0.2">
      <c r="A170" s="204">
        <v>787</v>
      </c>
      <c r="B170" s="205"/>
      <c r="C170" s="206" t="s">
        <v>912</v>
      </c>
      <c r="D170" s="432"/>
      <c r="E170" s="383"/>
      <c r="F170" s="383"/>
      <c r="G170" s="383"/>
      <c r="H170" s="383"/>
      <c r="I170" s="383"/>
      <c r="J170" s="383">
        <f>+E170+F170+G170+H170-I170</f>
        <v>0</v>
      </c>
      <c r="K170" s="103" t="e">
        <f>J170/J$175*100</f>
        <v>#REF!</v>
      </c>
    </row>
    <row r="171" spans="1:11" s="423" customFormat="1" x14ac:dyDescent="0.2">
      <c r="A171" s="204">
        <v>7870</v>
      </c>
      <c r="B171" s="205"/>
      <c r="C171" s="206" t="s">
        <v>911</v>
      </c>
      <c r="D171" s="432"/>
      <c r="E171" s="383"/>
      <c r="F171" s="383"/>
      <c r="G171" s="383"/>
      <c r="H171" s="383"/>
      <c r="I171" s="383"/>
      <c r="J171" s="383"/>
      <c r="K171" s="433"/>
    </row>
    <row r="172" spans="1:11" ht="15.75" thickBot="1" x14ac:dyDescent="0.25">
      <c r="A172" s="120"/>
      <c r="B172" s="121"/>
      <c r="C172" s="122"/>
      <c r="D172" s="123"/>
      <c r="E172" s="124"/>
      <c r="F172" s="124"/>
      <c r="G172" s="124"/>
      <c r="H172" s="124"/>
      <c r="I172" s="124"/>
      <c r="J172" s="124"/>
      <c r="K172" s="125"/>
    </row>
    <row r="173" spans="1:11" ht="15.75" thickTop="1" x14ac:dyDescent="0.2">
      <c r="A173" s="126"/>
      <c r="B173" s="126"/>
      <c r="C173" s="127"/>
      <c r="D173" s="127"/>
      <c r="E173" s="128"/>
      <c r="F173" s="128"/>
      <c r="G173" s="128"/>
      <c r="H173" s="128"/>
      <c r="I173" s="128"/>
      <c r="J173" s="128"/>
      <c r="K173" s="128"/>
    </row>
    <row r="174" spans="1:11" ht="16.5" thickBot="1" x14ac:dyDescent="0.3">
      <c r="A174" s="53"/>
      <c r="B174" s="53"/>
      <c r="C174" s="54"/>
      <c r="D174" s="54"/>
      <c r="E174" s="129"/>
      <c r="F174" s="129"/>
      <c r="G174" s="129"/>
      <c r="H174" s="129"/>
      <c r="I174" s="129"/>
      <c r="J174" s="130"/>
      <c r="K174" s="130"/>
    </row>
    <row r="175" spans="1:11" ht="19.5" thickTop="1" thickBot="1" x14ac:dyDescent="0.3">
      <c r="A175" s="53" t="s">
        <v>866</v>
      </c>
      <c r="B175" s="53"/>
      <c r="C175" s="131" t="s">
        <v>583</v>
      </c>
      <c r="D175" s="131"/>
      <c r="E175" s="132"/>
      <c r="F175" s="132"/>
      <c r="G175" s="132"/>
      <c r="H175" s="132"/>
      <c r="I175" s="132"/>
      <c r="J175" s="133" t="e">
        <f>+#REF!</f>
        <v>#REF!</v>
      </c>
      <c r="K175" s="134"/>
    </row>
    <row r="176" spans="1:11" ht="17.25" thickTop="1" thickBot="1" x14ac:dyDescent="0.3">
      <c r="A176" s="53"/>
      <c r="B176" s="53"/>
      <c r="C176" s="54"/>
      <c r="D176" s="54"/>
      <c r="E176" s="10"/>
      <c r="F176" s="10"/>
      <c r="G176" s="10"/>
      <c r="H176" s="10"/>
      <c r="I176" s="134"/>
      <c r="J176" s="10"/>
      <c r="K176" s="10"/>
    </row>
    <row r="177" spans="1:11" ht="16.5" thickTop="1" thickBot="1" x14ac:dyDescent="0.25">
      <c r="A177" s="135"/>
      <c r="B177" s="136"/>
      <c r="C177" s="137"/>
      <c r="D177" s="138"/>
      <c r="E177" s="139"/>
      <c r="F177" s="139"/>
      <c r="G177" s="139"/>
      <c r="H177" s="139"/>
      <c r="I177" s="139"/>
      <c r="J177" s="140"/>
      <c r="K177" s="141"/>
    </row>
    <row r="178" spans="1:11" ht="17.25" thickTop="1" thickBot="1" x14ac:dyDescent="0.3">
      <c r="A178" s="69"/>
      <c r="B178" s="70" t="s">
        <v>83</v>
      </c>
      <c r="C178" s="77" t="s">
        <v>585</v>
      </c>
      <c r="D178" s="142"/>
      <c r="E178" s="73">
        <f>E181+E243+E285+E299+E313</f>
        <v>0</v>
      </c>
      <c r="F178" s="73">
        <f>F181+F243+F285+F299+F313</f>
        <v>0</v>
      </c>
      <c r="G178" s="73">
        <f>G181+G243+G285+G299+G313</f>
        <v>0</v>
      </c>
      <c r="H178" s="73">
        <f>H181+H243+H285+H299+H313</f>
        <v>0</v>
      </c>
      <c r="I178" s="73">
        <f>I181+I243+I285+I299+I313</f>
        <v>0</v>
      </c>
      <c r="J178" s="75">
        <f>E178+F178+G178+H178-I178</f>
        <v>0</v>
      </c>
      <c r="K178" s="76" t="e">
        <f>J178/J$175*100</f>
        <v>#REF!</v>
      </c>
    </row>
    <row r="179" spans="1:11" ht="16.5" thickTop="1" x14ac:dyDescent="0.25">
      <c r="A179" s="69"/>
      <c r="B179" s="70"/>
      <c r="C179" s="77" t="s">
        <v>587</v>
      </c>
      <c r="D179" s="142"/>
      <c r="E179" s="143"/>
      <c r="F179" s="73"/>
      <c r="G179" s="73"/>
      <c r="H179" s="73"/>
      <c r="I179" s="73"/>
      <c r="J179" s="80"/>
      <c r="K179" s="144"/>
    </row>
    <row r="180" spans="1:11" x14ac:dyDescent="0.2">
      <c r="A180" s="82"/>
      <c r="B180" s="94"/>
      <c r="C180" s="95"/>
      <c r="D180" s="145"/>
      <c r="E180" s="34"/>
      <c r="F180" s="34"/>
      <c r="G180" s="34"/>
      <c r="H180" s="34"/>
      <c r="I180" s="34"/>
      <c r="J180" s="34"/>
      <c r="K180" s="105"/>
    </row>
    <row r="181" spans="1:11" ht="15.75" x14ac:dyDescent="0.25">
      <c r="A181" s="88">
        <v>40</v>
      </c>
      <c r="B181" s="89"/>
      <c r="C181" s="90" t="s">
        <v>588</v>
      </c>
      <c r="D181" s="146"/>
      <c r="E181" s="32">
        <f>E184+E197+E207+E223+E230+E237</f>
        <v>0</v>
      </c>
      <c r="F181" s="32">
        <f>F184+F197+F207+F223+F230+F237</f>
        <v>0</v>
      </c>
      <c r="G181" s="32">
        <f>G184+G197+G207+G223+G230+G237</f>
        <v>0</v>
      </c>
      <c r="H181" s="32">
        <f>H184+H197+H207+H223+H230+H237</f>
        <v>0</v>
      </c>
      <c r="I181" s="32">
        <f>+I197+I207</f>
        <v>0</v>
      </c>
      <c r="J181" s="32">
        <f>E181+F181+G181+H181-I181</f>
        <v>0</v>
      </c>
      <c r="K181" s="92" t="e">
        <f>J181/J$175*100</f>
        <v>#REF!</v>
      </c>
    </row>
    <row r="182" spans="1:11" x14ac:dyDescent="0.2">
      <c r="A182" s="147"/>
      <c r="B182" s="148"/>
      <c r="C182" s="96" t="s">
        <v>816</v>
      </c>
      <c r="D182" s="145"/>
      <c r="E182" s="34"/>
      <c r="F182" s="34"/>
      <c r="G182" s="34"/>
      <c r="H182" s="34"/>
      <c r="I182" s="34"/>
      <c r="J182" s="34"/>
      <c r="K182" s="105"/>
    </row>
    <row r="183" spans="1:11" x14ac:dyDescent="0.2">
      <c r="A183" s="82"/>
      <c r="B183" s="94"/>
      <c r="C183" s="95"/>
      <c r="D183" s="145"/>
      <c r="E183" s="34"/>
      <c r="F183" s="34"/>
      <c r="G183" s="34"/>
      <c r="H183" s="34"/>
      <c r="I183" s="34"/>
      <c r="J183" s="34"/>
      <c r="K183" s="105"/>
    </row>
    <row r="184" spans="1:11" x14ac:dyDescent="0.2">
      <c r="A184" s="99"/>
      <c r="B184" s="100"/>
      <c r="C184" s="101" t="s">
        <v>817</v>
      </c>
      <c r="D184" s="149"/>
      <c r="E184" s="31">
        <f>+E186+E195</f>
        <v>0</v>
      </c>
      <c r="F184" s="31">
        <f>+F186+F195</f>
        <v>0</v>
      </c>
      <c r="G184" s="31">
        <f>+G186+G195</f>
        <v>0</v>
      </c>
      <c r="H184" s="31">
        <f>+H186+H195</f>
        <v>0</v>
      </c>
      <c r="I184" s="31">
        <f>+I186+I195</f>
        <v>0</v>
      </c>
      <c r="J184" s="31">
        <f>E184+F184+G184+H184-I184</f>
        <v>0</v>
      </c>
      <c r="K184" s="103" t="e">
        <f>J184/J$175*100</f>
        <v>#REF!</v>
      </c>
    </row>
    <row r="185" spans="1:11" x14ac:dyDescent="0.2">
      <c r="A185" s="82"/>
      <c r="B185" s="94"/>
      <c r="C185" s="96"/>
      <c r="D185" s="145"/>
      <c r="E185" s="86"/>
      <c r="F185" s="86"/>
      <c r="G185" s="86"/>
      <c r="H185" s="86"/>
      <c r="I185" s="86"/>
      <c r="J185" s="86"/>
      <c r="K185" s="110"/>
    </row>
    <row r="186" spans="1:11" x14ac:dyDescent="0.2">
      <c r="A186" s="99">
        <v>400</v>
      </c>
      <c r="B186" s="100"/>
      <c r="C186" s="101" t="s">
        <v>818</v>
      </c>
      <c r="D186" s="149"/>
      <c r="E186" s="31">
        <f>SUM(E187:E193)</f>
        <v>0</v>
      </c>
      <c r="F186" s="31"/>
      <c r="G186" s="31"/>
      <c r="H186" s="31"/>
      <c r="I186" s="31">
        <v>0</v>
      </c>
      <c r="J186" s="31">
        <f>E186+F186+G186+H186-I186</f>
        <v>0</v>
      </c>
      <c r="K186" s="103" t="e">
        <f>J186/J$175*100</f>
        <v>#REF!</v>
      </c>
    </row>
    <row r="187" spans="1:11" x14ac:dyDescent="0.2">
      <c r="A187" s="99">
        <v>4000</v>
      </c>
      <c r="B187" s="100"/>
      <c r="C187" s="101" t="s">
        <v>593</v>
      </c>
      <c r="D187" s="149"/>
      <c r="E187" s="31"/>
      <c r="F187" s="202" t="s">
        <v>845</v>
      </c>
      <c r="G187" s="202" t="s">
        <v>845</v>
      </c>
      <c r="H187" s="202" t="s">
        <v>845</v>
      </c>
      <c r="I187" s="202" t="s">
        <v>845</v>
      </c>
      <c r="J187" s="202" t="s">
        <v>845</v>
      </c>
      <c r="K187" s="103"/>
    </row>
    <row r="188" spans="1:11" x14ac:dyDescent="0.2">
      <c r="A188" s="99">
        <v>4001</v>
      </c>
      <c r="B188" s="100"/>
      <c r="C188" s="101" t="s">
        <v>595</v>
      </c>
      <c r="D188" s="149"/>
      <c r="E188" s="31"/>
      <c r="F188" s="202" t="s">
        <v>845</v>
      </c>
      <c r="G188" s="202" t="s">
        <v>845</v>
      </c>
      <c r="H188" s="202" t="s">
        <v>845</v>
      </c>
      <c r="I188" s="202" t="s">
        <v>845</v>
      </c>
      <c r="J188" s="202" t="s">
        <v>845</v>
      </c>
      <c r="K188" s="103"/>
    </row>
    <row r="189" spans="1:11" x14ac:dyDescent="0.2">
      <c r="A189" s="99">
        <v>4002</v>
      </c>
      <c r="B189" s="100"/>
      <c r="C189" s="101" t="s">
        <v>597</v>
      </c>
      <c r="D189" s="149"/>
      <c r="E189" s="31"/>
      <c r="F189" s="202" t="s">
        <v>845</v>
      </c>
      <c r="G189" s="202" t="s">
        <v>845</v>
      </c>
      <c r="H189" s="202" t="s">
        <v>845</v>
      </c>
      <c r="I189" s="202" t="s">
        <v>845</v>
      </c>
      <c r="J189" s="202" t="s">
        <v>845</v>
      </c>
      <c r="K189" s="103"/>
    </row>
    <row r="190" spans="1:11" x14ac:dyDescent="0.2">
      <c r="A190" s="99">
        <v>4003</v>
      </c>
      <c r="B190" s="100"/>
      <c r="C190" s="101" t="s">
        <v>599</v>
      </c>
      <c r="D190" s="149"/>
      <c r="E190" s="31"/>
      <c r="F190" s="202" t="s">
        <v>845</v>
      </c>
      <c r="G190" s="202" t="s">
        <v>845</v>
      </c>
      <c r="H190" s="202" t="s">
        <v>845</v>
      </c>
      <c r="I190" s="202" t="s">
        <v>845</v>
      </c>
      <c r="J190" s="202" t="s">
        <v>845</v>
      </c>
      <c r="K190" s="103"/>
    </row>
    <row r="191" spans="1:11" x14ac:dyDescent="0.2">
      <c r="A191" s="99">
        <v>4004</v>
      </c>
      <c r="B191" s="100"/>
      <c r="C191" s="101" t="s">
        <v>601</v>
      </c>
      <c r="D191" s="149"/>
      <c r="E191" s="31"/>
      <c r="F191" s="202" t="s">
        <v>845</v>
      </c>
      <c r="G191" s="202" t="s">
        <v>845</v>
      </c>
      <c r="H191" s="202" t="s">
        <v>845</v>
      </c>
      <c r="I191" s="202" t="s">
        <v>845</v>
      </c>
      <c r="J191" s="202" t="s">
        <v>845</v>
      </c>
      <c r="K191" s="103"/>
    </row>
    <row r="192" spans="1:11" x14ac:dyDescent="0.2">
      <c r="A192" s="99">
        <v>4005</v>
      </c>
      <c r="B192" s="100"/>
      <c r="C192" s="101" t="s">
        <v>603</v>
      </c>
      <c r="D192" s="149"/>
      <c r="E192" s="31"/>
      <c r="F192" s="202" t="s">
        <v>845</v>
      </c>
      <c r="G192" s="202" t="s">
        <v>845</v>
      </c>
      <c r="H192" s="202" t="s">
        <v>845</v>
      </c>
      <c r="I192" s="202" t="s">
        <v>845</v>
      </c>
      <c r="J192" s="202" t="s">
        <v>845</v>
      </c>
      <c r="K192" s="103"/>
    </row>
    <row r="193" spans="1:11" x14ac:dyDescent="0.2">
      <c r="A193" s="99">
        <v>4009</v>
      </c>
      <c r="B193" s="100"/>
      <c r="C193" s="101" t="s">
        <v>605</v>
      </c>
      <c r="D193" s="149"/>
      <c r="E193" s="31"/>
      <c r="F193" s="202" t="s">
        <v>845</v>
      </c>
      <c r="G193" s="202" t="s">
        <v>845</v>
      </c>
      <c r="H193" s="202" t="s">
        <v>845</v>
      </c>
      <c r="I193" s="202" t="s">
        <v>845</v>
      </c>
      <c r="J193" s="202" t="s">
        <v>845</v>
      </c>
      <c r="K193" s="103"/>
    </row>
    <row r="194" spans="1:11" x14ac:dyDescent="0.2">
      <c r="A194" s="82"/>
      <c r="B194" s="94"/>
      <c r="C194" s="95"/>
      <c r="D194" s="145"/>
      <c r="E194" s="34"/>
      <c r="F194" s="34"/>
      <c r="G194" s="34"/>
      <c r="H194" s="86"/>
      <c r="I194" s="34"/>
      <c r="J194" s="34"/>
      <c r="K194" s="110"/>
    </row>
    <row r="195" spans="1:11" x14ac:dyDescent="0.2">
      <c r="A195" s="99">
        <v>413300</v>
      </c>
      <c r="B195" s="100"/>
      <c r="C195" s="101" t="s">
        <v>819</v>
      </c>
      <c r="D195" s="149"/>
      <c r="E195" s="31"/>
      <c r="F195" s="31"/>
      <c r="G195" s="31"/>
      <c r="H195" s="31"/>
      <c r="I195" s="31">
        <v>0</v>
      </c>
      <c r="J195" s="31">
        <f>E195+F195+G195+H195-I195</f>
        <v>0</v>
      </c>
      <c r="K195" s="103" t="e">
        <f>J195/J$175*100</f>
        <v>#REF!</v>
      </c>
    </row>
    <row r="196" spans="1:11" x14ac:dyDescent="0.2">
      <c r="A196" s="82"/>
      <c r="B196" s="94"/>
      <c r="C196" s="95"/>
      <c r="D196" s="145"/>
      <c r="E196" s="34"/>
      <c r="F196" s="34"/>
      <c r="G196" s="34"/>
      <c r="H196" s="34"/>
      <c r="I196" s="34"/>
      <c r="J196" s="34"/>
      <c r="K196" s="150"/>
    </row>
    <row r="197" spans="1:11" x14ac:dyDescent="0.2">
      <c r="A197" s="151"/>
      <c r="B197" s="115"/>
      <c r="C197" s="112" t="s">
        <v>820</v>
      </c>
      <c r="D197" s="152"/>
      <c r="E197" s="113">
        <f>+E199+E205</f>
        <v>0</v>
      </c>
      <c r="F197" s="113">
        <f>+F199+F205</f>
        <v>0</v>
      </c>
      <c r="G197" s="113">
        <f>+G199+G205</f>
        <v>0</v>
      </c>
      <c r="H197" s="113">
        <f>+H199+H205</f>
        <v>0</v>
      </c>
      <c r="I197" s="426">
        <f>+I199+I205</f>
        <v>0</v>
      </c>
      <c r="J197" s="113">
        <f>E197+F197+G197+H197-I197</f>
        <v>0</v>
      </c>
      <c r="K197" s="110"/>
    </row>
    <row r="198" spans="1:11" x14ac:dyDescent="0.2">
      <c r="A198" s="151"/>
      <c r="B198" s="115"/>
      <c r="C198" s="112"/>
      <c r="D198" s="152"/>
      <c r="E198" s="113"/>
      <c r="F198" s="113"/>
      <c r="G198" s="113"/>
      <c r="H198" s="113"/>
      <c r="I198" s="113"/>
      <c r="J198" s="113"/>
      <c r="K198" s="110"/>
    </row>
    <row r="199" spans="1:11" x14ac:dyDescent="0.2">
      <c r="A199" s="106">
        <v>401</v>
      </c>
      <c r="B199" s="107"/>
      <c r="C199" s="108" t="s">
        <v>832</v>
      </c>
      <c r="D199" s="153"/>
      <c r="E199" s="109">
        <f>SUM(E200:E203)</f>
        <v>0</v>
      </c>
      <c r="F199" s="109">
        <f>SUM(F200:F203)</f>
        <v>0</v>
      </c>
      <c r="G199" s="109">
        <f>SUM(G200:G203)</f>
        <v>0</v>
      </c>
      <c r="H199" s="109">
        <f>SUM(H200:H203)</f>
        <v>0</v>
      </c>
      <c r="I199" s="109">
        <f>SUM(I200:I203)</f>
        <v>0</v>
      </c>
      <c r="J199" s="109">
        <f>E199+F199+G199+H199-I199</f>
        <v>0</v>
      </c>
      <c r="K199" s="103"/>
    </row>
    <row r="200" spans="1:11" x14ac:dyDescent="0.2">
      <c r="A200" s="106">
        <v>4010</v>
      </c>
      <c r="B200" s="107"/>
      <c r="C200" s="108" t="s">
        <v>608</v>
      </c>
      <c r="D200" s="153"/>
      <c r="E200" s="109"/>
      <c r="F200" s="109"/>
      <c r="G200" s="109"/>
      <c r="H200" s="109"/>
      <c r="I200" s="109">
        <f>E200+F200+G200+H200</f>
        <v>0</v>
      </c>
      <c r="J200" s="109">
        <f>E200+F200+G200+H200-I200</f>
        <v>0</v>
      </c>
      <c r="K200" s="104"/>
    </row>
    <row r="201" spans="1:11" x14ac:dyDescent="0.2">
      <c r="A201" s="106">
        <v>4011</v>
      </c>
      <c r="B201" s="107"/>
      <c r="C201" s="108" t="s">
        <v>613</v>
      </c>
      <c r="D201" s="153"/>
      <c r="E201" s="109"/>
      <c r="F201" s="109"/>
      <c r="G201" s="109"/>
      <c r="H201" s="109"/>
      <c r="I201" s="109">
        <f>E201+F201+G201+H201</f>
        <v>0</v>
      </c>
      <c r="J201" s="109">
        <f>E201+F201+G201+H201-I201</f>
        <v>0</v>
      </c>
      <c r="K201" s="104"/>
    </row>
    <row r="202" spans="1:11" x14ac:dyDescent="0.2">
      <c r="A202" s="106">
        <v>4012</v>
      </c>
      <c r="B202" s="107"/>
      <c r="C202" s="108" t="s">
        <v>615</v>
      </c>
      <c r="D202" s="153"/>
      <c r="E202" s="109"/>
      <c r="F202" s="109"/>
      <c r="G202" s="109"/>
      <c r="H202" s="109"/>
      <c r="I202" s="109">
        <f>E202+F202+G202+H202</f>
        <v>0</v>
      </c>
      <c r="J202" s="109">
        <f>E202+F202+G202+H202-I202</f>
        <v>0</v>
      </c>
      <c r="K202" s="104"/>
    </row>
    <row r="203" spans="1:11" x14ac:dyDescent="0.2">
      <c r="A203" s="106">
        <v>4013</v>
      </c>
      <c r="B203" s="107"/>
      <c r="C203" s="108" t="s">
        <v>617</v>
      </c>
      <c r="D203" s="153"/>
      <c r="E203" s="109"/>
      <c r="F203" s="109"/>
      <c r="G203" s="109"/>
      <c r="H203" s="109"/>
      <c r="I203" s="109">
        <f>E203+F203+G203+H203</f>
        <v>0</v>
      </c>
      <c r="J203" s="109">
        <f>E203+F203+G203+H203-I203</f>
        <v>0</v>
      </c>
      <c r="K203" s="104"/>
    </row>
    <row r="204" spans="1:11" x14ac:dyDescent="0.2">
      <c r="A204" s="114"/>
      <c r="B204" s="115"/>
      <c r="C204" s="154"/>
      <c r="D204" s="152"/>
      <c r="E204" s="116"/>
      <c r="F204" s="116"/>
      <c r="G204" s="116"/>
      <c r="H204" s="116"/>
      <c r="I204" s="116"/>
      <c r="J204" s="116"/>
      <c r="K204" s="105"/>
    </row>
    <row r="205" spans="1:11" x14ac:dyDescent="0.2">
      <c r="A205" s="106">
        <v>413301</v>
      </c>
      <c r="B205" s="107"/>
      <c r="C205" s="108" t="s">
        <v>821</v>
      </c>
      <c r="D205" s="153"/>
      <c r="E205" s="109"/>
      <c r="F205" s="109"/>
      <c r="G205" s="109"/>
      <c r="H205" s="109"/>
      <c r="I205" s="109">
        <f>E205+F205+G205+H205</f>
        <v>0</v>
      </c>
      <c r="J205" s="109">
        <f>E205+F205+G205+H205-I205</f>
        <v>0</v>
      </c>
      <c r="K205" s="104"/>
    </row>
    <row r="206" spans="1:11" x14ac:dyDescent="0.2">
      <c r="A206" s="82"/>
      <c r="B206" s="94"/>
      <c r="C206" s="95"/>
      <c r="D206" s="145"/>
      <c r="E206" s="34"/>
      <c r="F206" s="34"/>
      <c r="G206" s="34"/>
      <c r="H206" s="34"/>
      <c r="I206" s="34"/>
      <c r="J206" s="34"/>
      <c r="K206" s="105"/>
    </row>
    <row r="207" spans="1:11" x14ac:dyDescent="0.2">
      <c r="A207" s="99"/>
      <c r="B207" s="100"/>
      <c r="C207" s="101" t="s">
        <v>822</v>
      </c>
      <c r="D207" s="149"/>
      <c r="E207" s="31">
        <f t="shared" ref="E207:J207" si="15">+E209+E221</f>
        <v>0</v>
      </c>
      <c r="F207" s="31">
        <f t="shared" si="15"/>
        <v>0</v>
      </c>
      <c r="G207" s="31">
        <f t="shared" si="15"/>
        <v>0</v>
      </c>
      <c r="H207" s="31">
        <f t="shared" si="15"/>
        <v>0</v>
      </c>
      <c r="I207" s="31">
        <f t="shared" si="15"/>
        <v>0</v>
      </c>
      <c r="J207" s="31">
        <f t="shared" si="15"/>
        <v>0</v>
      </c>
      <c r="K207" s="103" t="e">
        <f>J207/J$175*100</f>
        <v>#REF!</v>
      </c>
    </row>
    <row r="208" spans="1:11" x14ac:dyDescent="0.2">
      <c r="A208" s="82"/>
      <c r="B208" s="94"/>
      <c r="C208" s="96"/>
      <c r="D208" s="145"/>
      <c r="E208" s="86"/>
      <c r="F208" s="86"/>
      <c r="G208" s="86"/>
      <c r="H208" s="86"/>
      <c r="I208" s="86"/>
      <c r="J208" s="86"/>
      <c r="K208" s="110"/>
    </row>
    <row r="209" spans="1:11" x14ac:dyDescent="0.2">
      <c r="A209" s="99">
        <v>402</v>
      </c>
      <c r="B209" s="100"/>
      <c r="C209" s="101" t="s">
        <v>833</v>
      </c>
      <c r="D209" s="149"/>
      <c r="E209" s="31">
        <f>SUM(E210:E219)</f>
        <v>0</v>
      </c>
      <c r="F209" s="31">
        <f>SUM(F210:F219)</f>
        <v>0</v>
      </c>
      <c r="G209" s="31"/>
      <c r="H209" s="31"/>
      <c r="I209" s="31">
        <f>SUM(I210:I219)</f>
        <v>0</v>
      </c>
      <c r="J209" s="31">
        <f>E209+F209+G209+H209-I209</f>
        <v>0</v>
      </c>
      <c r="K209" s="103" t="e">
        <f>J209/J$175*100</f>
        <v>#REF!</v>
      </c>
    </row>
    <row r="210" spans="1:11" x14ac:dyDescent="0.2">
      <c r="A210" s="99">
        <v>4020</v>
      </c>
      <c r="B210" s="100"/>
      <c r="C210" s="101" t="s">
        <v>937</v>
      </c>
      <c r="D210" s="149"/>
      <c r="E210" s="31"/>
      <c r="F210" s="31"/>
      <c r="G210" s="202" t="s">
        <v>845</v>
      </c>
      <c r="H210" s="202" t="s">
        <v>845</v>
      </c>
      <c r="I210" s="202" t="s">
        <v>845</v>
      </c>
      <c r="J210" s="202" t="s">
        <v>845</v>
      </c>
      <c r="K210" s="155"/>
    </row>
    <row r="211" spans="1:11" x14ac:dyDescent="0.2">
      <c r="A211" s="99">
        <v>4021</v>
      </c>
      <c r="B211" s="100"/>
      <c r="C211" s="101" t="s">
        <v>939</v>
      </c>
      <c r="D211" s="149"/>
      <c r="E211" s="31"/>
      <c r="F211" s="31"/>
      <c r="G211" s="202" t="s">
        <v>845</v>
      </c>
      <c r="H211" s="202" t="s">
        <v>845</v>
      </c>
      <c r="I211" s="202" t="s">
        <v>845</v>
      </c>
      <c r="J211" s="202" t="s">
        <v>845</v>
      </c>
      <c r="K211" s="155"/>
    </row>
    <row r="212" spans="1:11" x14ac:dyDescent="0.2">
      <c r="A212" s="99">
        <v>4022</v>
      </c>
      <c r="B212" s="100"/>
      <c r="C212" s="101" t="s">
        <v>941</v>
      </c>
      <c r="D212" s="149"/>
      <c r="E212" s="31"/>
      <c r="F212" s="31"/>
      <c r="G212" s="202" t="s">
        <v>845</v>
      </c>
      <c r="H212" s="202" t="s">
        <v>845</v>
      </c>
      <c r="I212" s="202" t="s">
        <v>845</v>
      </c>
      <c r="J212" s="202" t="s">
        <v>845</v>
      </c>
      <c r="K212" s="155"/>
    </row>
    <row r="213" spans="1:11" x14ac:dyDescent="0.2">
      <c r="A213" s="99">
        <v>4023</v>
      </c>
      <c r="B213" s="100"/>
      <c r="C213" s="101" t="s">
        <v>943</v>
      </c>
      <c r="D213" s="149"/>
      <c r="E213" s="31"/>
      <c r="F213" s="31"/>
      <c r="G213" s="202" t="s">
        <v>845</v>
      </c>
      <c r="H213" s="202" t="s">
        <v>845</v>
      </c>
      <c r="I213" s="202" t="s">
        <v>845</v>
      </c>
      <c r="J213" s="202" t="s">
        <v>845</v>
      </c>
      <c r="K213" s="155"/>
    </row>
    <row r="214" spans="1:11" x14ac:dyDescent="0.2">
      <c r="A214" s="99">
        <v>4024</v>
      </c>
      <c r="B214" s="100"/>
      <c r="C214" s="101" t="s">
        <v>945</v>
      </c>
      <c r="D214" s="149"/>
      <c r="E214" s="31"/>
      <c r="F214" s="31"/>
      <c r="G214" s="202" t="s">
        <v>845</v>
      </c>
      <c r="H214" s="202" t="s">
        <v>845</v>
      </c>
      <c r="I214" s="202" t="s">
        <v>845</v>
      </c>
      <c r="J214" s="202" t="s">
        <v>845</v>
      </c>
      <c r="K214" s="155"/>
    </row>
    <row r="215" spans="1:11" x14ac:dyDescent="0.2">
      <c r="A215" s="99">
        <v>4025</v>
      </c>
      <c r="B215" s="100"/>
      <c r="C215" s="101" t="s">
        <v>947</v>
      </c>
      <c r="D215" s="149"/>
      <c r="E215" s="31"/>
      <c r="F215" s="31"/>
      <c r="G215" s="202" t="s">
        <v>845</v>
      </c>
      <c r="H215" s="202" t="s">
        <v>845</v>
      </c>
      <c r="I215" s="202" t="s">
        <v>845</v>
      </c>
      <c r="J215" s="202" t="s">
        <v>845</v>
      </c>
      <c r="K215" s="155"/>
    </row>
    <row r="216" spans="1:11" x14ac:dyDescent="0.2">
      <c r="A216" s="99">
        <v>4026</v>
      </c>
      <c r="B216" s="100"/>
      <c r="C216" s="101" t="s">
        <v>949</v>
      </c>
      <c r="D216" s="149"/>
      <c r="E216" s="31"/>
      <c r="F216" s="31"/>
      <c r="G216" s="202" t="s">
        <v>845</v>
      </c>
      <c r="H216" s="202" t="s">
        <v>845</v>
      </c>
      <c r="I216" s="202" t="s">
        <v>845</v>
      </c>
      <c r="J216" s="202" t="s">
        <v>845</v>
      </c>
      <c r="K216" s="155"/>
    </row>
    <row r="217" spans="1:11" x14ac:dyDescent="0.2">
      <c r="A217" s="99">
        <v>4027</v>
      </c>
      <c r="B217" s="100"/>
      <c r="C217" s="101" t="s">
        <v>951</v>
      </c>
      <c r="D217" s="149"/>
      <c r="E217" s="31"/>
      <c r="F217" s="31"/>
      <c r="G217" s="202" t="s">
        <v>845</v>
      </c>
      <c r="H217" s="202" t="s">
        <v>845</v>
      </c>
      <c r="I217" s="202" t="s">
        <v>845</v>
      </c>
      <c r="J217" s="202" t="s">
        <v>845</v>
      </c>
      <c r="K217" s="155"/>
    </row>
    <row r="218" spans="1:11" x14ac:dyDescent="0.2">
      <c r="A218" s="99">
        <v>4028</v>
      </c>
      <c r="B218" s="100"/>
      <c r="C218" s="101" t="s">
        <v>265</v>
      </c>
      <c r="D218" s="149"/>
      <c r="E218" s="31"/>
      <c r="F218" s="31"/>
      <c r="G218" s="202" t="s">
        <v>845</v>
      </c>
      <c r="H218" s="202" t="s">
        <v>845</v>
      </c>
      <c r="I218" s="202" t="s">
        <v>845</v>
      </c>
      <c r="J218" s="202" t="s">
        <v>845</v>
      </c>
      <c r="K218" s="155"/>
    </row>
    <row r="219" spans="1:11" x14ac:dyDescent="0.2">
      <c r="A219" s="99">
        <v>4029</v>
      </c>
      <c r="B219" s="100"/>
      <c r="C219" s="101" t="s">
        <v>953</v>
      </c>
      <c r="D219" s="149"/>
      <c r="E219" s="31"/>
      <c r="F219" s="31"/>
      <c r="G219" s="202" t="s">
        <v>845</v>
      </c>
      <c r="H219" s="202" t="s">
        <v>845</v>
      </c>
      <c r="I219" s="202" t="s">
        <v>845</v>
      </c>
      <c r="J219" s="202" t="s">
        <v>845</v>
      </c>
      <c r="K219" s="155"/>
    </row>
    <row r="220" spans="1:11" x14ac:dyDescent="0.2">
      <c r="A220" s="82"/>
      <c r="B220" s="94"/>
      <c r="C220" s="95"/>
      <c r="D220" s="145"/>
      <c r="E220" s="34"/>
      <c r="F220" s="34"/>
      <c r="G220" s="34"/>
      <c r="H220" s="34"/>
      <c r="I220" s="34"/>
      <c r="J220" s="34"/>
      <c r="K220" s="87"/>
    </row>
    <row r="221" spans="1:11" x14ac:dyDescent="0.2">
      <c r="A221" s="99">
        <v>413302</v>
      </c>
      <c r="B221" s="100"/>
      <c r="C221" s="101" t="s">
        <v>823</v>
      </c>
      <c r="D221" s="149"/>
      <c r="E221" s="31"/>
      <c r="F221" s="31"/>
      <c r="G221" s="31"/>
      <c r="H221" s="31"/>
      <c r="I221" s="31">
        <v>0</v>
      </c>
      <c r="J221" s="31">
        <f>E221+F221+G221+H221-I221</f>
        <v>0</v>
      </c>
      <c r="K221" s="103" t="e">
        <f>J221/J$175*100</f>
        <v>#REF!</v>
      </c>
    </row>
    <row r="222" spans="1:11" x14ac:dyDescent="0.2">
      <c r="A222" s="82"/>
      <c r="B222" s="94"/>
      <c r="C222" s="95"/>
      <c r="D222" s="145"/>
      <c r="E222" s="34"/>
      <c r="F222" s="34"/>
      <c r="G222" s="34"/>
      <c r="H222" s="34"/>
      <c r="I222" s="34"/>
      <c r="J222" s="34"/>
      <c r="K222" s="105"/>
    </row>
    <row r="223" spans="1:11" x14ac:dyDescent="0.2">
      <c r="A223" s="99">
        <v>403</v>
      </c>
      <c r="B223" s="100"/>
      <c r="C223" s="101" t="s">
        <v>957</v>
      </c>
      <c r="D223" s="149"/>
      <c r="E223" s="31">
        <f>SUM(E224:E228)</f>
        <v>0</v>
      </c>
      <c r="F223" s="31">
        <f>SUM(F224:F228)</f>
        <v>0</v>
      </c>
      <c r="G223" s="31">
        <f>SUM(G224:G228)</f>
        <v>0</v>
      </c>
      <c r="H223" s="31">
        <v>0</v>
      </c>
      <c r="I223" s="31">
        <f>SUM(I224:I228)</f>
        <v>0</v>
      </c>
      <c r="J223" s="31">
        <f>E223+F223+G223+H223-I223</f>
        <v>0</v>
      </c>
      <c r="K223" s="103" t="e">
        <f t="shared" ref="K223:K228" si="16">J223/J$175*100</f>
        <v>#REF!</v>
      </c>
    </row>
    <row r="224" spans="1:11" x14ac:dyDescent="0.2">
      <c r="A224" s="99">
        <v>4030</v>
      </c>
      <c r="B224" s="100"/>
      <c r="C224" s="101" t="s">
        <v>959</v>
      </c>
      <c r="D224" s="149"/>
      <c r="E224" s="31"/>
      <c r="F224" s="31"/>
      <c r="G224" s="31"/>
      <c r="H224" s="31">
        <v>0</v>
      </c>
      <c r="I224" s="31"/>
      <c r="J224" s="31">
        <f>E224+F224+G224+H224</f>
        <v>0</v>
      </c>
      <c r="K224" s="103" t="e">
        <f t="shared" si="16"/>
        <v>#REF!</v>
      </c>
    </row>
    <row r="225" spans="1:11" x14ac:dyDescent="0.2">
      <c r="A225" s="99">
        <v>4031</v>
      </c>
      <c r="B225" s="100"/>
      <c r="C225" s="101" t="s">
        <v>961</v>
      </c>
      <c r="D225" s="149"/>
      <c r="E225" s="31"/>
      <c r="F225" s="31"/>
      <c r="G225" s="31"/>
      <c r="H225" s="31">
        <v>0</v>
      </c>
      <c r="I225" s="31"/>
      <c r="J225" s="31">
        <f>E225+F225+G225+H225</f>
        <v>0</v>
      </c>
      <c r="K225" s="103" t="e">
        <f t="shared" si="16"/>
        <v>#REF!</v>
      </c>
    </row>
    <row r="226" spans="1:11" x14ac:dyDescent="0.2">
      <c r="A226" s="99">
        <v>4032</v>
      </c>
      <c r="B226" s="100"/>
      <c r="C226" s="101" t="s">
        <v>963</v>
      </c>
      <c r="D226" s="149"/>
      <c r="E226" s="31"/>
      <c r="F226" s="31"/>
      <c r="G226" s="31"/>
      <c r="H226" s="31">
        <v>0</v>
      </c>
      <c r="I226" s="31"/>
      <c r="J226" s="31">
        <f>E226+F226+G226+H226</f>
        <v>0</v>
      </c>
      <c r="K226" s="103" t="e">
        <f t="shared" si="16"/>
        <v>#REF!</v>
      </c>
    </row>
    <row r="227" spans="1:11" x14ac:dyDescent="0.2">
      <c r="A227" s="99">
        <v>4033</v>
      </c>
      <c r="B227" s="100"/>
      <c r="C227" s="101" t="s">
        <v>965</v>
      </c>
      <c r="D227" s="149"/>
      <c r="E227" s="31"/>
      <c r="F227" s="31"/>
      <c r="G227" s="31"/>
      <c r="H227" s="31">
        <v>0</v>
      </c>
      <c r="I227" s="31"/>
      <c r="J227" s="31">
        <f>E227+F227+G227+H227</f>
        <v>0</v>
      </c>
      <c r="K227" s="103" t="e">
        <f t="shared" si="16"/>
        <v>#REF!</v>
      </c>
    </row>
    <row r="228" spans="1:11" x14ac:dyDescent="0.2">
      <c r="A228" s="99">
        <v>4034</v>
      </c>
      <c r="B228" s="100"/>
      <c r="C228" s="101" t="s">
        <v>967</v>
      </c>
      <c r="D228" s="149"/>
      <c r="E228" s="31"/>
      <c r="F228" s="31"/>
      <c r="G228" s="31"/>
      <c r="H228" s="31">
        <v>0</v>
      </c>
      <c r="I228" s="31"/>
      <c r="J228" s="31">
        <f>E228+F228+G228+H228</f>
        <v>0</v>
      </c>
      <c r="K228" s="103" t="e">
        <f t="shared" si="16"/>
        <v>#REF!</v>
      </c>
    </row>
    <row r="229" spans="1:11" x14ac:dyDescent="0.2">
      <c r="A229" s="82"/>
      <c r="B229" s="94"/>
      <c r="C229" s="95"/>
      <c r="D229" s="145"/>
      <c r="E229" s="34"/>
      <c r="F229" s="34"/>
      <c r="G229" s="34"/>
      <c r="H229" s="34"/>
      <c r="I229" s="34"/>
      <c r="J229" s="34"/>
      <c r="K229" s="105"/>
    </row>
    <row r="230" spans="1:11" x14ac:dyDescent="0.2">
      <c r="A230" s="99">
        <v>404</v>
      </c>
      <c r="B230" s="100"/>
      <c r="C230" s="101" t="s">
        <v>969</v>
      </c>
      <c r="D230" s="149"/>
      <c r="E230" s="31">
        <f>SUM(E231:E235)</f>
        <v>0</v>
      </c>
      <c r="F230" s="31">
        <f>SUM(F231:F234)</f>
        <v>0</v>
      </c>
      <c r="G230" s="31">
        <f>SUM(G231:G234)</f>
        <v>0</v>
      </c>
      <c r="H230" s="31">
        <v>0</v>
      </c>
      <c r="I230" s="31">
        <f>SUM(I231:I234)</f>
        <v>0</v>
      </c>
      <c r="J230" s="31">
        <f>E230+F230+G230+H230-I230</f>
        <v>0</v>
      </c>
      <c r="K230" s="103" t="e">
        <f>J230/J$175*100</f>
        <v>#REF!</v>
      </c>
    </row>
    <row r="231" spans="1:11" x14ac:dyDescent="0.2">
      <c r="A231" s="99">
        <v>4040</v>
      </c>
      <c r="B231" s="100"/>
      <c r="C231" s="101" t="s">
        <v>971</v>
      </c>
      <c r="D231" s="149"/>
      <c r="E231" s="31"/>
      <c r="F231" s="31">
        <v>0</v>
      </c>
      <c r="G231" s="31">
        <v>0</v>
      </c>
      <c r="H231" s="31">
        <v>0</v>
      </c>
      <c r="I231" s="31"/>
      <c r="J231" s="31">
        <f>E231+F231+G231+H231</f>
        <v>0</v>
      </c>
      <c r="K231" s="103"/>
    </row>
    <row r="232" spans="1:11" x14ac:dyDescent="0.2">
      <c r="A232" s="99">
        <v>4041</v>
      </c>
      <c r="B232" s="100"/>
      <c r="C232" s="101" t="s">
        <v>973</v>
      </c>
      <c r="D232" s="149"/>
      <c r="E232" s="31"/>
      <c r="F232" s="31">
        <v>0</v>
      </c>
      <c r="G232" s="31">
        <v>0</v>
      </c>
      <c r="H232" s="31">
        <v>0</v>
      </c>
      <c r="I232" s="31"/>
      <c r="J232" s="31">
        <f>E232+F232+G232+H232</f>
        <v>0</v>
      </c>
      <c r="K232" s="103" t="e">
        <f>J232/J$175*100</f>
        <v>#REF!</v>
      </c>
    </row>
    <row r="233" spans="1:11" x14ac:dyDescent="0.2">
      <c r="A233" s="99">
        <v>4042</v>
      </c>
      <c r="B233" s="100"/>
      <c r="C233" s="101" t="s">
        <v>975</v>
      </c>
      <c r="D233" s="149"/>
      <c r="E233" s="31"/>
      <c r="F233" s="31">
        <v>0</v>
      </c>
      <c r="G233" s="31">
        <v>0</v>
      </c>
      <c r="H233" s="31">
        <v>0</v>
      </c>
      <c r="I233" s="31"/>
      <c r="J233" s="31">
        <f>E233+F233+G233+H233</f>
        <v>0</v>
      </c>
      <c r="K233" s="103" t="e">
        <f>J233/J$175*100</f>
        <v>#REF!</v>
      </c>
    </row>
    <row r="234" spans="1:11" x14ac:dyDescent="0.2">
      <c r="A234" s="99">
        <v>4043</v>
      </c>
      <c r="B234" s="100"/>
      <c r="C234" s="101" t="s">
        <v>977</v>
      </c>
      <c r="D234" s="149"/>
      <c r="E234" s="31"/>
      <c r="F234" s="31">
        <v>0</v>
      </c>
      <c r="G234" s="31">
        <v>0</v>
      </c>
      <c r="H234" s="31">
        <v>0</v>
      </c>
      <c r="I234" s="31"/>
      <c r="J234" s="31">
        <f>E234+F234+G234+H234</f>
        <v>0</v>
      </c>
      <c r="K234" s="103" t="e">
        <f>J234/J$175*100</f>
        <v>#REF!</v>
      </c>
    </row>
    <row r="235" spans="1:11" x14ac:dyDescent="0.2">
      <c r="A235" s="99">
        <v>4044</v>
      </c>
      <c r="B235" s="100"/>
      <c r="C235" s="101" t="s">
        <v>834</v>
      </c>
      <c r="D235" s="149"/>
      <c r="E235" s="31"/>
      <c r="F235" s="31">
        <v>0</v>
      </c>
      <c r="G235" s="31">
        <v>0</v>
      </c>
      <c r="H235" s="31">
        <v>0</v>
      </c>
      <c r="I235" s="31"/>
      <c r="J235" s="31">
        <f>E235+F235+G235+H235</f>
        <v>0</v>
      </c>
      <c r="K235" s="103" t="e">
        <f>J235/J$175*100</f>
        <v>#REF!</v>
      </c>
    </row>
    <row r="236" spans="1:11" x14ac:dyDescent="0.2">
      <c r="A236" s="82"/>
      <c r="B236" s="94"/>
      <c r="C236" s="95"/>
      <c r="D236" s="145"/>
      <c r="E236" s="34"/>
      <c r="F236" s="34"/>
      <c r="G236" s="34"/>
      <c r="H236" s="34"/>
      <c r="I236" s="34"/>
      <c r="J236" s="34"/>
      <c r="K236" s="105"/>
    </row>
    <row r="237" spans="1:11" x14ac:dyDescent="0.2">
      <c r="A237" s="99">
        <v>409</v>
      </c>
      <c r="B237" s="100"/>
      <c r="C237" s="101" t="s">
        <v>979</v>
      </c>
      <c r="D237" s="149"/>
      <c r="E237" s="31">
        <f>+E238+E239+E240+E241</f>
        <v>0</v>
      </c>
      <c r="F237" s="31">
        <f>+F238+F239+F240+F241</f>
        <v>0</v>
      </c>
      <c r="G237" s="31">
        <f>+G238+G239+G240+G241</f>
        <v>0</v>
      </c>
      <c r="H237" s="31">
        <f>+H238+H239+H240+H241</f>
        <v>0</v>
      </c>
      <c r="I237" s="31">
        <f>+I238+I239+I240+I241</f>
        <v>0</v>
      </c>
      <c r="J237" s="31">
        <f>E237+F237+G237+H237-I237</f>
        <v>0</v>
      </c>
      <c r="K237" s="103" t="e">
        <f>J237/J$175*100</f>
        <v>#REF!</v>
      </c>
    </row>
    <row r="238" spans="1:11" x14ac:dyDescent="0.2">
      <c r="A238" s="99">
        <v>4090</v>
      </c>
      <c r="B238" s="100"/>
      <c r="C238" s="101" t="s">
        <v>981</v>
      </c>
      <c r="D238" s="149"/>
      <c r="E238" s="31"/>
      <c r="F238" s="31"/>
      <c r="G238" s="31">
        <v>0</v>
      </c>
      <c r="H238" s="31">
        <v>0</v>
      </c>
      <c r="I238" s="31"/>
      <c r="J238" s="31">
        <f>E238+F238+G238+H238-I238</f>
        <v>0</v>
      </c>
      <c r="K238" s="103" t="e">
        <f>J238/J$175*100</f>
        <v>#REF!</v>
      </c>
    </row>
    <row r="239" spans="1:11" x14ac:dyDescent="0.2">
      <c r="A239" s="99">
        <v>4091</v>
      </c>
      <c r="B239" s="100"/>
      <c r="C239" s="101" t="s">
        <v>983</v>
      </c>
      <c r="D239" s="149"/>
      <c r="E239" s="31"/>
      <c r="F239" s="31"/>
      <c r="G239" s="31">
        <v>0</v>
      </c>
      <c r="H239" s="31">
        <v>0</v>
      </c>
      <c r="I239" s="31"/>
      <c r="J239" s="31">
        <f>E239+F239+G239+H239-I239</f>
        <v>0</v>
      </c>
      <c r="K239" s="103" t="e">
        <f>J239/J$175*100</f>
        <v>#REF!</v>
      </c>
    </row>
    <row r="240" spans="1:11" x14ac:dyDescent="0.2">
      <c r="A240" s="99">
        <v>4092</v>
      </c>
      <c r="B240" s="100"/>
      <c r="C240" s="101" t="s">
        <v>985</v>
      </c>
      <c r="D240" s="149"/>
      <c r="E240" s="31"/>
      <c r="F240" s="31"/>
      <c r="G240" s="31">
        <v>0</v>
      </c>
      <c r="H240" s="31">
        <v>0</v>
      </c>
      <c r="I240" s="31"/>
      <c r="J240" s="31">
        <f>E240+F240+G240+H240-I240</f>
        <v>0</v>
      </c>
      <c r="K240" s="103"/>
    </row>
    <row r="241" spans="1:11" x14ac:dyDescent="0.2">
      <c r="A241" s="99">
        <v>4093</v>
      </c>
      <c r="B241" s="100"/>
      <c r="C241" s="101" t="s">
        <v>875</v>
      </c>
      <c r="D241" s="149"/>
      <c r="E241" s="31"/>
      <c r="F241" s="31"/>
      <c r="G241" s="31"/>
      <c r="H241" s="31"/>
      <c r="I241" s="31"/>
      <c r="J241" s="31">
        <f>E241+F241+G241+H241-I241</f>
        <v>0</v>
      </c>
      <c r="K241" s="103"/>
    </row>
    <row r="242" spans="1:11" x14ac:dyDescent="0.2">
      <c r="A242" s="82"/>
      <c r="B242" s="94"/>
      <c r="C242" s="95"/>
      <c r="D242" s="145"/>
      <c r="E242" s="34"/>
      <c r="F242" s="34"/>
      <c r="G242" s="34"/>
      <c r="H242" s="34"/>
      <c r="I242" s="34"/>
      <c r="J242" s="34"/>
      <c r="K242" s="105"/>
    </row>
    <row r="243" spans="1:11" ht="15.75" x14ac:dyDescent="0.25">
      <c r="A243" s="88">
        <v>41</v>
      </c>
      <c r="B243" s="89"/>
      <c r="C243" s="90" t="s">
        <v>987</v>
      </c>
      <c r="D243" s="146"/>
      <c r="E243" s="32">
        <f>E246+E251+E262+E266+E279</f>
        <v>0</v>
      </c>
      <c r="F243" s="32">
        <f>F246+F251+F262+F266+F279</f>
        <v>0</v>
      </c>
      <c r="G243" s="32">
        <f>G246+G251+G262+G266+G279</f>
        <v>0</v>
      </c>
      <c r="H243" s="32">
        <f>H246+H251+H262+H266+H279</f>
        <v>0</v>
      </c>
      <c r="I243" s="32">
        <f>I246+I251+I262+I266+I279</f>
        <v>0</v>
      </c>
      <c r="J243" s="32">
        <f>E243+F243+G243+H243-I243</f>
        <v>0</v>
      </c>
      <c r="K243" s="92" t="e">
        <f>J243/J$175*100</f>
        <v>#REF!</v>
      </c>
    </row>
    <row r="244" spans="1:11" x14ac:dyDescent="0.2">
      <c r="A244" s="147"/>
      <c r="B244" s="148"/>
      <c r="C244" s="96" t="s">
        <v>989</v>
      </c>
      <c r="D244" s="145"/>
      <c r="E244" s="34"/>
      <c r="F244" s="34"/>
      <c r="G244" s="34"/>
      <c r="H244" s="34"/>
      <c r="I244" s="34"/>
      <c r="J244" s="34"/>
      <c r="K244" s="105"/>
    </row>
    <row r="245" spans="1:11" x14ac:dyDescent="0.2">
      <c r="A245" s="82"/>
      <c r="B245" s="94"/>
      <c r="C245" s="95"/>
      <c r="D245" s="145"/>
      <c r="E245" s="34"/>
      <c r="F245" s="34"/>
      <c r="G245" s="34"/>
      <c r="H245" s="34"/>
      <c r="I245" s="34"/>
      <c r="J245" s="34"/>
      <c r="K245" s="105"/>
    </row>
    <row r="246" spans="1:11" x14ac:dyDescent="0.2">
      <c r="A246" s="99">
        <v>410</v>
      </c>
      <c r="B246" s="100"/>
      <c r="C246" s="101" t="s">
        <v>990</v>
      </c>
      <c r="D246" s="149"/>
      <c r="E246" s="31">
        <f>E247+E248+E249</f>
        <v>0</v>
      </c>
      <c r="F246" s="31">
        <f>F247+F248+F249</f>
        <v>0</v>
      </c>
      <c r="G246" s="31">
        <f>G247+G248+G249</f>
        <v>0</v>
      </c>
      <c r="H246" s="31">
        <f>H247+H248+H249</f>
        <v>0</v>
      </c>
      <c r="I246" s="31">
        <f>I247+I248+I249</f>
        <v>0</v>
      </c>
      <c r="J246" s="31">
        <f>E246+F246+G246+H246-I246</f>
        <v>0</v>
      </c>
      <c r="K246" s="103" t="e">
        <f>J246/J$175*100</f>
        <v>#REF!</v>
      </c>
    </row>
    <row r="247" spans="1:11" x14ac:dyDescent="0.2">
      <c r="A247" s="99">
        <v>4100</v>
      </c>
      <c r="B247" s="100"/>
      <c r="C247" s="101" t="s">
        <v>992</v>
      </c>
      <c r="D247" s="149"/>
      <c r="E247" s="31"/>
      <c r="F247" s="31"/>
      <c r="G247" s="31">
        <v>0</v>
      </c>
      <c r="H247" s="31">
        <v>0</v>
      </c>
      <c r="I247" s="31"/>
      <c r="J247" s="31">
        <f>E247+F247+G247+H247</f>
        <v>0</v>
      </c>
      <c r="K247" s="103" t="e">
        <f>J247/J$175*100</f>
        <v>#REF!</v>
      </c>
    </row>
    <row r="248" spans="1:11" x14ac:dyDescent="0.2">
      <c r="A248" s="99">
        <v>4101</v>
      </c>
      <c r="B248" s="100"/>
      <c r="C248" s="101" t="s">
        <v>994</v>
      </c>
      <c r="D248" s="149"/>
      <c r="E248" s="31"/>
      <c r="F248" s="31"/>
      <c r="G248" s="31">
        <v>0</v>
      </c>
      <c r="H248" s="31">
        <v>0</v>
      </c>
      <c r="I248" s="31"/>
      <c r="J248" s="31">
        <f>E248+F248+G248+H248</f>
        <v>0</v>
      </c>
      <c r="K248" s="103" t="e">
        <f>J248/J$175*100</f>
        <v>#REF!</v>
      </c>
    </row>
    <row r="249" spans="1:11" x14ac:dyDescent="0.2">
      <c r="A249" s="99">
        <v>4102</v>
      </c>
      <c r="B249" s="100"/>
      <c r="C249" s="101" t="s">
        <v>996</v>
      </c>
      <c r="D249" s="149"/>
      <c r="E249" s="31"/>
      <c r="F249" s="31"/>
      <c r="G249" s="31">
        <v>0</v>
      </c>
      <c r="H249" s="31">
        <v>0</v>
      </c>
      <c r="I249" s="31"/>
      <c r="J249" s="31">
        <f>E249+F249+G249+H249</f>
        <v>0</v>
      </c>
      <c r="K249" s="103" t="e">
        <f>J249/J$175*100</f>
        <v>#REF!</v>
      </c>
    </row>
    <row r="250" spans="1:11" x14ac:dyDescent="0.2">
      <c r="A250" s="82"/>
      <c r="B250" s="94"/>
      <c r="C250" s="95"/>
      <c r="D250" s="145"/>
      <c r="E250" s="34"/>
      <c r="F250" s="34"/>
      <c r="G250" s="34"/>
      <c r="H250" s="34"/>
      <c r="I250" s="34"/>
      <c r="J250" s="34"/>
      <c r="K250" s="105"/>
    </row>
    <row r="251" spans="1:11" x14ac:dyDescent="0.2">
      <c r="A251" s="99">
        <v>411</v>
      </c>
      <c r="B251" s="100"/>
      <c r="C251" s="101" t="s">
        <v>998</v>
      </c>
      <c r="D251" s="149"/>
      <c r="E251" s="31">
        <f>SUM(E252:E260)</f>
        <v>0</v>
      </c>
      <c r="F251" s="31">
        <f>SUM(F252:F260)</f>
        <v>0</v>
      </c>
      <c r="G251" s="31">
        <f>SUM(G252:G260)</f>
        <v>0</v>
      </c>
      <c r="H251" s="31">
        <f>SUM(H252:H260)</f>
        <v>0</v>
      </c>
      <c r="I251" s="31">
        <f>SUM(I252:I260)</f>
        <v>0</v>
      </c>
      <c r="J251" s="31">
        <f>E251+F251+G251+H251-I251</f>
        <v>0</v>
      </c>
      <c r="K251" s="103" t="e">
        <f t="shared" ref="K251:K260" si="17">J251/J$175*100</f>
        <v>#REF!</v>
      </c>
    </row>
    <row r="252" spans="1:11" x14ac:dyDescent="0.2">
      <c r="A252" s="99">
        <v>4110</v>
      </c>
      <c r="B252" s="100"/>
      <c r="C252" s="101" t="s">
        <v>1000</v>
      </c>
      <c r="D252" s="149"/>
      <c r="E252" s="31"/>
      <c r="F252" s="31"/>
      <c r="G252" s="31"/>
      <c r="H252" s="31"/>
      <c r="I252" s="429">
        <f>+F135</f>
        <v>0</v>
      </c>
      <c r="J252" s="109">
        <f>E252+F252+G252+H252-I252</f>
        <v>0</v>
      </c>
      <c r="K252" s="103" t="e">
        <f t="shared" si="17"/>
        <v>#REF!</v>
      </c>
    </row>
    <row r="253" spans="1:11" x14ac:dyDescent="0.2">
      <c r="A253" s="99">
        <v>4111</v>
      </c>
      <c r="B253" s="100"/>
      <c r="C253" s="101" t="s">
        <v>1002</v>
      </c>
      <c r="D253" s="149"/>
      <c r="E253" s="31"/>
      <c r="F253" s="31"/>
      <c r="G253" s="31"/>
      <c r="H253" s="31"/>
      <c r="I253" s="31"/>
      <c r="J253" s="109">
        <f>E253+F253+G253+H253-I253</f>
        <v>0</v>
      </c>
      <c r="K253" s="103" t="e">
        <f t="shared" si="17"/>
        <v>#REF!</v>
      </c>
    </row>
    <row r="254" spans="1:11" x14ac:dyDescent="0.2">
      <c r="A254" s="99">
        <v>4112</v>
      </c>
      <c r="B254" s="100"/>
      <c r="C254" s="101" t="s">
        <v>1004</v>
      </c>
      <c r="D254" s="149"/>
      <c r="E254" s="31"/>
      <c r="F254" s="31"/>
      <c r="G254" s="31"/>
      <c r="H254" s="31"/>
      <c r="I254" s="31"/>
      <c r="J254" s="31">
        <f>E254+F254+G254+H254</f>
        <v>0</v>
      </c>
      <c r="K254" s="103" t="e">
        <f t="shared" si="17"/>
        <v>#REF!</v>
      </c>
    </row>
    <row r="255" spans="1:11" x14ac:dyDescent="0.2">
      <c r="A255" s="99">
        <v>4113</v>
      </c>
      <c r="B255" s="100"/>
      <c r="C255" s="101" t="s">
        <v>1006</v>
      </c>
      <c r="D255" s="149"/>
      <c r="E255" s="31"/>
      <c r="F255" s="31"/>
      <c r="G255" s="31"/>
      <c r="H255" s="31"/>
      <c r="I255" s="31"/>
      <c r="J255" s="31">
        <f>E255+F255+G255+H255</f>
        <v>0</v>
      </c>
      <c r="K255" s="103" t="e">
        <f t="shared" si="17"/>
        <v>#REF!</v>
      </c>
    </row>
    <row r="256" spans="1:11" x14ac:dyDescent="0.2">
      <c r="A256" s="99">
        <v>4114</v>
      </c>
      <c r="B256" s="100"/>
      <c r="C256" s="101" t="s">
        <v>1008</v>
      </c>
      <c r="D256" s="149"/>
      <c r="E256" s="31"/>
      <c r="F256" s="31"/>
      <c r="G256" s="31"/>
      <c r="H256" s="31"/>
      <c r="I256" s="31"/>
      <c r="J256" s="31">
        <f>E256+F256+G256+H256</f>
        <v>0</v>
      </c>
      <c r="K256" s="103" t="e">
        <f t="shared" si="17"/>
        <v>#REF!</v>
      </c>
    </row>
    <row r="257" spans="1:11" x14ac:dyDescent="0.2">
      <c r="A257" s="99">
        <v>4115</v>
      </c>
      <c r="B257" s="100"/>
      <c r="C257" s="101" t="s">
        <v>1010</v>
      </c>
      <c r="D257" s="149"/>
      <c r="E257" s="31"/>
      <c r="F257" s="31"/>
      <c r="G257" s="31"/>
      <c r="H257" s="31"/>
      <c r="I257" s="31"/>
      <c r="J257" s="31">
        <f>E257+F257+G257+H257</f>
        <v>0</v>
      </c>
      <c r="K257" s="103" t="e">
        <f t="shared" si="17"/>
        <v>#REF!</v>
      </c>
    </row>
    <row r="258" spans="1:11" x14ac:dyDescent="0.2">
      <c r="A258" s="99">
        <v>4116</v>
      </c>
      <c r="B258" s="100"/>
      <c r="C258" s="101" t="s">
        <v>1012</v>
      </c>
      <c r="D258" s="149"/>
      <c r="E258" s="31"/>
      <c r="F258" s="31"/>
      <c r="G258" s="31"/>
      <c r="H258" s="31"/>
      <c r="I258" s="31"/>
      <c r="J258" s="109">
        <f>E258+F258+G258+H258-I258</f>
        <v>0</v>
      </c>
      <c r="K258" s="103" t="e">
        <f t="shared" si="17"/>
        <v>#REF!</v>
      </c>
    </row>
    <row r="259" spans="1:11" x14ac:dyDescent="0.2">
      <c r="A259" s="99">
        <v>4117</v>
      </c>
      <c r="B259" s="100"/>
      <c r="C259" s="101" t="s">
        <v>1014</v>
      </c>
      <c r="D259" s="149"/>
      <c r="E259" s="31"/>
      <c r="F259" s="31"/>
      <c r="G259" s="31"/>
      <c r="H259" s="31"/>
      <c r="I259" s="31"/>
      <c r="J259" s="31">
        <f>E259+F259+G259+H259</f>
        <v>0</v>
      </c>
      <c r="K259" s="103" t="e">
        <f t="shared" si="17"/>
        <v>#REF!</v>
      </c>
    </row>
    <row r="260" spans="1:11" x14ac:dyDescent="0.2">
      <c r="A260" s="99">
        <v>4119</v>
      </c>
      <c r="B260" s="100"/>
      <c r="C260" s="101" t="s">
        <v>1016</v>
      </c>
      <c r="D260" s="149"/>
      <c r="E260" s="31"/>
      <c r="F260" s="31"/>
      <c r="G260" s="31"/>
      <c r="H260" s="31"/>
      <c r="I260" s="31"/>
      <c r="J260" s="31">
        <f>E260+F260+G260+H260-I260</f>
        <v>0</v>
      </c>
      <c r="K260" s="103" t="e">
        <f t="shared" si="17"/>
        <v>#REF!</v>
      </c>
    </row>
    <row r="261" spans="1:11" x14ac:dyDescent="0.2">
      <c r="A261" s="82"/>
      <c r="B261" s="94"/>
      <c r="C261" s="95"/>
      <c r="D261" s="145"/>
      <c r="E261" s="34"/>
      <c r="F261" s="34"/>
      <c r="G261" s="34"/>
      <c r="H261" s="34"/>
      <c r="I261" s="34"/>
      <c r="J261" s="34"/>
      <c r="K261" s="105"/>
    </row>
    <row r="262" spans="1:11" x14ac:dyDescent="0.2">
      <c r="A262" s="99">
        <v>412</v>
      </c>
      <c r="B262" s="100"/>
      <c r="C262" s="101" t="s">
        <v>0</v>
      </c>
      <c r="D262" s="149"/>
      <c r="E262" s="31">
        <f>E264</f>
        <v>0</v>
      </c>
      <c r="F262" s="31">
        <f>F264</f>
        <v>0</v>
      </c>
      <c r="G262" s="31">
        <f>G264</f>
        <v>0</v>
      </c>
      <c r="H262" s="31">
        <f>H264</f>
        <v>0</v>
      </c>
      <c r="I262" s="31">
        <f>I264</f>
        <v>0</v>
      </c>
      <c r="J262" s="31">
        <f>E262+F262+G262+H262-I262</f>
        <v>0</v>
      </c>
      <c r="K262" s="103" t="e">
        <f>J262/J$175*100</f>
        <v>#REF!</v>
      </c>
    </row>
    <row r="263" spans="1:11" x14ac:dyDescent="0.2">
      <c r="A263" s="147"/>
      <c r="B263" s="148"/>
      <c r="C263" s="101" t="s">
        <v>2</v>
      </c>
      <c r="D263" s="145"/>
      <c r="E263" s="34"/>
      <c r="F263" s="34"/>
      <c r="G263" s="34"/>
      <c r="H263" s="34"/>
      <c r="I263" s="34"/>
      <c r="J263" s="34"/>
      <c r="K263" s="105"/>
    </row>
    <row r="264" spans="1:11" x14ac:dyDescent="0.2">
      <c r="A264" s="99">
        <v>4120</v>
      </c>
      <c r="B264" s="100"/>
      <c r="C264" s="101" t="s">
        <v>4</v>
      </c>
      <c r="D264" s="149"/>
      <c r="E264" s="31"/>
      <c r="F264" s="31"/>
      <c r="G264" s="31"/>
      <c r="H264" s="31"/>
      <c r="I264" s="31">
        <v>0</v>
      </c>
      <c r="J264" s="31">
        <f>E264+F264+G264+H264</f>
        <v>0</v>
      </c>
      <c r="K264" s="103" t="e">
        <f>J264/J$175*100</f>
        <v>#REF!</v>
      </c>
    </row>
    <row r="265" spans="1:11" x14ac:dyDescent="0.2">
      <c r="A265" s="82"/>
      <c r="B265" s="94"/>
      <c r="C265" s="95"/>
      <c r="D265" s="145"/>
      <c r="E265" s="34"/>
      <c r="F265" s="34"/>
      <c r="G265" s="34"/>
      <c r="H265" s="34"/>
      <c r="I265" s="34"/>
      <c r="J265" s="34"/>
      <c r="K265" s="105"/>
    </row>
    <row r="266" spans="1:11" x14ac:dyDescent="0.2">
      <c r="A266" s="99">
        <v>413</v>
      </c>
      <c r="B266" s="100"/>
      <c r="C266" s="101" t="s">
        <v>6</v>
      </c>
      <c r="D266" s="149"/>
      <c r="E266" s="31">
        <f>+E268+E270+E272+E276</f>
        <v>0</v>
      </c>
      <c r="F266" s="31">
        <f>+F268+F270+F272</f>
        <v>0</v>
      </c>
      <c r="G266" s="31">
        <f>+G268+G270+G272</f>
        <v>0</v>
      </c>
      <c r="H266" s="31">
        <f>+H268+H270+H272+H276</f>
        <v>0</v>
      </c>
      <c r="I266" s="31">
        <f>+I268+I270+I272+I276</f>
        <v>0</v>
      </c>
      <c r="J266" s="31">
        <f>E266+F266+G266+H266-I266</f>
        <v>0</v>
      </c>
      <c r="K266" s="103" t="e">
        <f>J266/J$175*100</f>
        <v>#REF!</v>
      </c>
    </row>
    <row r="267" spans="1:11" x14ac:dyDescent="0.2">
      <c r="A267" s="82"/>
      <c r="B267" s="94"/>
      <c r="C267" s="95"/>
      <c r="D267" s="145"/>
      <c r="E267" s="34"/>
      <c r="F267" s="34"/>
      <c r="G267" s="34"/>
      <c r="H267" s="34"/>
      <c r="I267" s="34"/>
      <c r="J267" s="34"/>
      <c r="K267" s="105"/>
    </row>
    <row r="268" spans="1:11" x14ac:dyDescent="0.2">
      <c r="A268" s="106">
        <v>4130</v>
      </c>
      <c r="B268" s="107"/>
      <c r="C268" s="108" t="s">
        <v>8</v>
      </c>
      <c r="D268" s="153"/>
      <c r="E268" s="109"/>
      <c r="F268" s="109"/>
      <c r="G268" s="109">
        <v>0</v>
      </c>
      <c r="H268" s="109">
        <v>0</v>
      </c>
      <c r="I268" s="429">
        <f>+E268+F268+G268+H268</f>
        <v>0</v>
      </c>
      <c r="J268" s="109">
        <f>E268+F268+G268+H268-I268</f>
        <v>0</v>
      </c>
      <c r="K268" s="103"/>
    </row>
    <row r="269" spans="1:11" x14ac:dyDescent="0.2">
      <c r="A269" s="114"/>
      <c r="B269" s="115"/>
      <c r="C269" s="154"/>
      <c r="D269" s="157"/>
      <c r="E269" s="113"/>
      <c r="F269" s="113"/>
      <c r="G269" s="113"/>
      <c r="H269" s="113"/>
      <c r="I269" s="113"/>
      <c r="J269" s="113"/>
      <c r="K269" s="110"/>
    </row>
    <row r="270" spans="1:11" x14ac:dyDescent="0.2">
      <c r="A270" s="106">
        <v>4131</v>
      </c>
      <c r="B270" s="107"/>
      <c r="C270" s="108" t="s">
        <v>10</v>
      </c>
      <c r="D270" s="153"/>
      <c r="E270" s="109"/>
      <c r="F270" s="109"/>
      <c r="G270" s="109"/>
      <c r="H270" s="109"/>
      <c r="I270" s="429">
        <f>+E270+F270+G270+H270</f>
        <v>0</v>
      </c>
      <c r="J270" s="109">
        <f>E270+F270+G270+H270-I270</f>
        <v>0</v>
      </c>
      <c r="K270" s="104"/>
    </row>
    <row r="271" spans="1:11" x14ac:dyDescent="0.2">
      <c r="A271" s="114"/>
      <c r="B271" s="115"/>
      <c r="C271" s="154"/>
      <c r="D271" s="157"/>
      <c r="E271" s="113"/>
      <c r="F271" s="113"/>
      <c r="G271" s="113"/>
      <c r="H271" s="113"/>
      <c r="I271" s="113"/>
      <c r="J271" s="113"/>
      <c r="K271" s="87"/>
    </row>
    <row r="272" spans="1:11" x14ac:dyDescent="0.2">
      <c r="A272" s="106">
        <v>4132</v>
      </c>
      <c r="B272" s="107"/>
      <c r="C272" s="108" t="s">
        <v>15</v>
      </c>
      <c r="D272" s="153"/>
      <c r="E272" s="109"/>
      <c r="F272" s="109"/>
      <c r="G272" s="109">
        <v>0</v>
      </c>
      <c r="H272" s="109">
        <v>0</v>
      </c>
      <c r="I272" s="429">
        <v>0</v>
      </c>
      <c r="J272" s="109">
        <f>E272+F272+G272+H272-I272</f>
        <v>0</v>
      </c>
      <c r="K272" s="103"/>
    </row>
    <row r="273" spans="1:11" x14ac:dyDescent="0.2">
      <c r="A273" s="114"/>
      <c r="B273" s="115"/>
      <c r="C273" s="154"/>
      <c r="D273" s="157"/>
      <c r="E273" s="113"/>
      <c r="F273" s="113"/>
      <c r="G273" s="113"/>
      <c r="H273" s="113"/>
      <c r="I273" s="113"/>
      <c r="J273" s="113"/>
      <c r="K273" s="87"/>
    </row>
    <row r="274" spans="1:11" x14ac:dyDescent="0.2">
      <c r="A274" s="82"/>
      <c r="B274" s="94"/>
      <c r="C274" s="95"/>
      <c r="D274" s="145"/>
      <c r="E274" s="34"/>
      <c r="F274" s="34"/>
      <c r="G274" s="34"/>
      <c r="H274" s="34"/>
      <c r="I274" s="86"/>
      <c r="J274" s="86"/>
      <c r="K274" s="110"/>
    </row>
    <row r="275" spans="1:11" x14ac:dyDescent="0.2">
      <c r="A275" s="82"/>
      <c r="B275" s="94"/>
      <c r="C275" s="95"/>
      <c r="D275" s="159"/>
      <c r="E275" s="34"/>
      <c r="F275" s="34"/>
      <c r="G275" s="34"/>
      <c r="H275" s="34"/>
      <c r="I275" s="86"/>
      <c r="J275" s="86"/>
      <c r="K275" s="110"/>
    </row>
    <row r="276" spans="1:11" x14ac:dyDescent="0.2">
      <c r="A276" s="106">
        <v>4134</v>
      </c>
      <c r="B276" s="107"/>
      <c r="C276" s="108" t="s">
        <v>840</v>
      </c>
      <c r="D276" s="153"/>
      <c r="E276" s="109"/>
      <c r="F276" s="109"/>
      <c r="G276" s="109"/>
      <c r="H276" s="109"/>
      <c r="I276" s="428">
        <f>+E131</f>
        <v>0</v>
      </c>
      <c r="J276" s="109">
        <f>E276+F276+G276+H276-I276</f>
        <v>0</v>
      </c>
      <c r="K276" s="103"/>
    </row>
    <row r="277" spans="1:11" x14ac:dyDescent="0.2">
      <c r="A277" s="82"/>
      <c r="B277" s="94"/>
      <c r="C277" s="95"/>
      <c r="D277" s="159"/>
      <c r="E277" s="34"/>
      <c r="F277" s="34"/>
      <c r="G277" s="34"/>
      <c r="H277" s="34"/>
      <c r="I277" s="34"/>
      <c r="J277" s="34"/>
      <c r="K277" s="150"/>
    </row>
    <row r="278" spans="1:11" x14ac:dyDescent="0.2">
      <c r="A278" s="82"/>
      <c r="B278" s="94"/>
      <c r="C278" s="95"/>
      <c r="D278" s="145"/>
      <c r="E278" s="34"/>
      <c r="F278" s="34"/>
      <c r="G278" s="34"/>
      <c r="H278" s="34"/>
      <c r="I278" s="34"/>
      <c r="J278" s="34"/>
      <c r="K278" s="105"/>
    </row>
    <row r="279" spans="1:11" x14ac:dyDescent="0.2">
      <c r="A279" s="99">
        <v>414</v>
      </c>
      <c r="B279" s="100"/>
      <c r="C279" s="101" t="s">
        <v>25</v>
      </c>
      <c r="D279" s="149"/>
      <c r="E279" s="31">
        <f>SUM(E280:E283)</f>
        <v>0</v>
      </c>
      <c r="F279" s="31">
        <v>0</v>
      </c>
      <c r="G279" s="31">
        <f>SUM(G280:G283)</f>
        <v>0</v>
      </c>
      <c r="H279" s="31">
        <f>SUM(H280:H283)</f>
        <v>0</v>
      </c>
      <c r="I279" s="31">
        <f>SUM(I280:I283)</f>
        <v>0</v>
      </c>
      <c r="J279" s="31">
        <f>E279+F279+G279+H279-I279</f>
        <v>0</v>
      </c>
      <c r="K279" s="103" t="e">
        <f>J279/J$175*100</f>
        <v>#REF!</v>
      </c>
    </row>
    <row r="280" spans="1:11" x14ac:dyDescent="0.2">
      <c r="A280" s="99">
        <v>4140</v>
      </c>
      <c r="B280" s="100"/>
      <c r="C280" s="101" t="s">
        <v>27</v>
      </c>
      <c r="D280" s="149"/>
      <c r="E280" s="31"/>
      <c r="F280" s="31">
        <v>0</v>
      </c>
      <c r="G280" s="31">
        <v>0</v>
      </c>
      <c r="H280" s="31"/>
      <c r="I280" s="31"/>
      <c r="J280" s="31">
        <f>E280+F280+G280+H280-I280</f>
        <v>0</v>
      </c>
      <c r="K280" s="103" t="e">
        <f>J280/J$175*100</f>
        <v>#REF!</v>
      </c>
    </row>
    <row r="281" spans="1:11" x14ac:dyDescent="0.2">
      <c r="A281" s="99">
        <v>4141</v>
      </c>
      <c r="B281" s="100"/>
      <c r="C281" s="101" t="s">
        <v>29</v>
      </c>
      <c r="D281" s="149"/>
      <c r="E281" s="31"/>
      <c r="F281" s="31">
        <v>0</v>
      </c>
      <c r="G281" s="31">
        <v>0</v>
      </c>
      <c r="H281" s="31"/>
      <c r="I281" s="31"/>
      <c r="J281" s="31">
        <f>E281+F281+G281+H281-I281</f>
        <v>0</v>
      </c>
      <c r="K281" s="103" t="e">
        <f>J281/J$175*100</f>
        <v>#REF!</v>
      </c>
    </row>
    <row r="282" spans="1:11" x14ac:dyDescent="0.2">
      <c r="A282" s="99">
        <v>4142</v>
      </c>
      <c r="B282" s="100"/>
      <c r="C282" s="101" t="s">
        <v>31</v>
      </c>
      <c r="D282" s="149"/>
      <c r="E282" s="31"/>
      <c r="F282" s="31">
        <v>0</v>
      </c>
      <c r="G282" s="31">
        <v>0</v>
      </c>
      <c r="H282" s="31"/>
      <c r="I282" s="31"/>
      <c r="J282" s="31">
        <f>E282+F282+G282+H282-I282</f>
        <v>0</v>
      </c>
      <c r="K282" s="103" t="e">
        <f>J282/J$175*100</f>
        <v>#REF!</v>
      </c>
    </row>
    <row r="283" spans="1:11" x14ac:dyDescent="0.2">
      <c r="A283" s="99">
        <v>4143</v>
      </c>
      <c r="B283" s="100"/>
      <c r="C283" s="101" t="s">
        <v>33</v>
      </c>
      <c r="D283" s="149"/>
      <c r="E283" s="31"/>
      <c r="F283" s="31">
        <v>0</v>
      </c>
      <c r="G283" s="31">
        <v>0</v>
      </c>
      <c r="H283" s="31"/>
      <c r="I283" s="31"/>
      <c r="J283" s="31">
        <f>E283+F283+G283+H283-I283</f>
        <v>0</v>
      </c>
      <c r="K283" s="103" t="e">
        <f>J283/J$175*100</f>
        <v>#REF!</v>
      </c>
    </row>
    <row r="284" spans="1:11" x14ac:dyDescent="0.2">
      <c r="A284" s="82"/>
      <c r="B284" s="94"/>
      <c r="C284" s="95"/>
      <c r="D284" s="145"/>
      <c r="E284" s="34"/>
      <c r="F284" s="34"/>
      <c r="G284" s="34"/>
      <c r="H284" s="34"/>
      <c r="I284" s="34"/>
      <c r="J284" s="34"/>
      <c r="K284" s="105"/>
    </row>
    <row r="285" spans="1:11" ht="15.75" x14ac:dyDescent="0.25">
      <c r="A285" s="88">
        <v>42</v>
      </c>
      <c r="B285" s="89"/>
      <c r="C285" s="90" t="s">
        <v>35</v>
      </c>
      <c r="D285" s="146"/>
      <c r="E285" s="32">
        <f>E287</f>
        <v>0</v>
      </c>
      <c r="F285" s="32">
        <f>F287</f>
        <v>0</v>
      </c>
      <c r="G285" s="32">
        <f>G287</f>
        <v>0</v>
      </c>
      <c r="H285" s="32">
        <f>H287</f>
        <v>0</v>
      </c>
      <c r="I285" s="32">
        <f>I287</f>
        <v>0</v>
      </c>
      <c r="J285" s="32">
        <f>E285+F285+G285+H285-I285</f>
        <v>0</v>
      </c>
      <c r="K285" s="92" t="e">
        <f>J285/J$175*100</f>
        <v>#REF!</v>
      </c>
    </row>
    <row r="286" spans="1:11" x14ac:dyDescent="0.2">
      <c r="A286" s="82"/>
      <c r="B286" s="94"/>
      <c r="C286" s="95"/>
      <c r="D286" s="145"/>
      <c r="E286" s="86"/>
      <c r="F286" s="86"/>
      <c r="G286" s="86"/>
      <c r="H286" s="86"/>
      <c r="I286" s="86"/>
      <c r="J286" s="86"/>
      <c r="K286" s="87"/>
    </row>
    <row r="287" spans="1:11" x14ac:dyDescent="0.2">
      <c r="A287" s="99">
        <v>420</v>
      </c>
      <c r="B287" s="100"/>
      <c r="C287" s="101" t="s">
        <v>37</v>
      </c>
      <c r="D287" s="149"/>
      <c r="E287" s="31">
        <f>SUM(E288:E297)</f>
        <v>0</v>
      </c>
      <c r="F287" s="31">
        <f>SUM(F288:F297)</f>
        <v>0</v>
      </c>
      <c r="G287" s="31">
        <f>SUM(G288:G297)</f>
        <v>0</v>
      </c>
      <c r="H287" s="31">
        <f>SUM(H288:H297)</f>
        <v>0</v>
      </c>
      <c r="I287" s="31">
        <f>SUM(I288:I297)</f>
        <v>0</v>
      </c>
      <c r="J287" s="31">
        <f t="shared" ref="J287:J297" si="18">E287+F287+G287+H287-I287</f>
        <v>0</v>
      </c>
      <c r="K287" s="103" t="e">
        <f t="shared" ref="K287:K297" si="19">J287/J$175*100</f>
        <v>#REF!</v>
      </c>
    </row>
    <row r="288" spans="1:11" x14ac:dyDescent="0.2">
      <c r="A288" s="99">
        <v>4200</v>
      </c>
      <c r="B288" s="100"/>
      <c r="C288" s="101" t="s">
        <v>39</v>
      </c>
      <c r="D288" s="149"/>
      <c r="E288" s="31"/>
      <c r="F288" s="31"/>
      <c r="G288" s="31">
        <v>0</v>
      </c>
      <c r="H288" s="31">
        <v>0</v>
      </c>
      <c r="I288" s="31"/>
      <c r="J288" s="31">
        <f t="shared" si="18"/>
        <v>0</v>
      </c>
      <c r="K288" s="103" t="e">
        <f t="shared" si="19"/>
        <v>#REF!</v>
      </c>
    </row>
    <row r="289" spans="1:11" x14ac:dyDescent="0.2">
      <c r="A289" s="99">
        <v>4201</v>
      </c>
      <c r="B289" s="100"/>
      <c r="C289" s="101" t="s">
        <v>41</v>
      </c>
      <c r="D289" s="149"/>
      <c r="E289" s="31"/>
      <c r="F289" s="31"/>
      <c r="G289" s="31">
        <v>0</v>
      </c>
      <c r="H289" s="31">
        <v>0</v>
      </c>
      <c r="I289" s="31"/>
      <c r="J289" s="31">
        <f t="shared" si="18"/>
        <v>0</v>
      </c>
      <c r="K289" s="103" t="e">
        <f t="shared" si="19"/>
        <v>#REF!</v>
      </c>
    </row>
    <row r="290" spans="1:11" x14ac:dyDescent="0.2">
      <c r="A290" s="99">
        <v>4202</v>
      </c>
      <c r="B290" s="100"/>
      <c r="C290" s="101" t="s">
        <v>43</v>
      </c>
      <c r="D290" s="149"/>
      <c r="E290" s="31"/>
      <c r="F290" s="31"/>
      <c r="G290" s="31"/>
      <c r="H290" s="31">
        <v>0</v>
      </c>
      <c r="I290" s="31"/>
      <c r="J290" s="31">
        <f t="shared" si="18"/>
        <v>0</v>
      </c>
      <c r="K290" s="103" t="e">
        <f t="shared" si="19"/>
        <v>#REF!</v>
      </c>
    </row>
    <row r="291" spans="1:11" x14ac:dyDescent="0.2">
      <c r="A291" s="99">
        <v>4203</v>
      </c>
      <c r="B291" s="100"/>
      <c r="C291" s="101" t="s">
        <v>45</v>
      </c>
      <c r="D291" s="149"/>
      <c r="E291" s="31"/>
      <c r="F291" s="31"/>
      <c r="G291" s="31">
        <v>0</v>
      </c>
      <c r="H291" s="31">
        <v>0</v>
      </c>
      <c r="I291" s="31"/>
      <c r="J291" s="31">
        <f t="shared" si="18"/>
        <v>0</v>
      </c>
      <c r="K291" s="103" t="e">
        <f t="shared" si="19"/>
        <v>#REF!</v>
      </c>
    </row>
    <row r="292" spans="1:11" x14ac:dyDescent="0.2">
      <c r="A292" s="99">
        <v>4204</v>
      </c>
      <c r="B292" s="100"/>
      <c r="C292" s="101" t="s">
        <v>47</v>
      </c>
      <c r="D292" s="149"/>
      <c r="E292" s="31"/>
      <c r="F292" s="31"/>
      <c r="G292" s="31">
        <v>0</v>
      </c>
      <c r="H292" s="31">
        <v>0</v>
      </c>
      <c r="I292" s="31"/>
      <c r="J292" s="31">
        <f t="shared" si="18"/>
        <v>0</v>
      </c>
      <c r="K292" s="103" t="e">
        <f t="shared" si="19"/>
        <v>#REF!</v>
      </c>
    </row>
    <row r="293" spans="1:11" x14ac:dyDescent="0.2">
      <c r="A293" s="99">
        <v>4205</v>
      </c>
      <c r="B293" s="100"/>
      <c r="C293" s="101" t="s">
        <v>49</v>
      </c>
      <c r="D293" s="149"/>
      <c r="E293" s="31"/>
      <c r="F293" s="31"/>
      <c r="G293" s="31">
        <v>0</v>
      </c>
      <c r="H293" s="31"/>
      <c r="I293" s="31"/>
      <c r="J293" s="31">
        <f t="shared" si="18"/>
        <v>0</v>
      </c>
      <c r="K293" s="103" t="e">
        <f t="shared" si="19"/>
        <v>#REF!</v>
      </c>
    </row>
    <row r="294" spans="1:11" x14ac:dyDescent="0.2">
      <c r="A294" s="99">
        <v>4206</v>
      </c>
      <c r="B294" s="100"/>
      <c r="C294" s="101" t="s">
        <v>51</v>
      </c>
      <c r="D294" s="149"/>
      <c r="E294" s="31"/>
      <c r="F294" s="31"/>
      <c r="G294" s="31">
        <v>0</v>
      </c>
      <c r="H294" s="31">
        <v>0</v>
      </c>
      <c r="I294" s="31"/>
      <c r="J294" s="31">
        <f t="shared" si="18"/>
        <v>0</v>
      </c>
      <c r="K294" s="103" t="e">
        <f t="shared" si="19"/>
        <v>#REF!</v>
      </c>
    </row>
    <row r="295" spans="1:11" x14ac:dyDescent="0.2">
      <c r="A295" s="99">
        <v>4207</v>
      </c>
      <c r="B295" s="100"/>
      <c r="C295" s="101" t="s">
        <v>53</v>
      </c>
      <c r="D295" s="149"/>
      <c r="E295" s="31"/>
      <c r="F295" s="31"/>
      <c r="G295" s="31">
        <v>0</v>
      </c>
      <c r="H295" s="31">
        <v>0</v>
      </c>
      <c r="I295" s="31"/>
      <c r="J295" s="31">
        <f t="shared" si="18"/>
        <v>0</v>
      </c>
      <c r="K295" s="103" t="e">
        <f t="shared" si="19"/>
        <v>#REF!</v>
      </c>
    </row>
    <row r="296" spans="1:11" x14ac:dyDescent="0.2">
      <c r="A296" s="99">
        <v>4208</v>
      </c>
      <c r="B296" s="100"/>
      <c r="C296" s="101" t="s">
        <v>55</v>
      </c>
      <c r="D296" s="149"/>
      <c r="E296" s="31"/>
      <c r="F296" s="31"/>
      <c r="G296" s="31">
        <v>0</v>
      </c>
      <c r="H296" s="31">
        <v>0</v>
      </c>
      <c r="I296" s="31"/>
      <c r="J296" s="31">
        <f t="shared" si="18"/>
        <v>0</v>
      </c>
      <c r="K296" s="103" t="e">
        <f t="shared" si="19"/>
        <v>#REF!</v>
      </c>
    </row>
    <row r="297" spans="1:11" x14ac:dyDescent="0.2">
      <c r="A297" s="99">
        <v>4209</v>
      </c>
      <c r="B297" s="100"/>
      <c r="C297" s="101" t="s">
        <v>57</v>
      </c>
      <c r="D297" s="149"/>
      <c r="E297" s="31"/>
      <c r="F297" s="31"/>
      <c r="G297" s="31">
        <v>0</v>
      </c>
      <c r="H297" s="31">
        <v>0</v>
      </c>
      <c r="I297" s="31"/>
      <c r="J297" s="31">
        <f t="shared" si="18"/>
        <v>0</v>
      </c>
      <c r="K297" s="103" t="e">
        <f t="shared" si="19"/>
        <v>#REF!</v>
      </c>
    </row>
    <row r="298" spans="1:11" x14ac:dyDescent="0.2">
      <c r="A298" s="82"/>
      <c r="B298" s="94"/>
      <c r="C298" s="95"/>
      <c r="D298" s="145"/>
      <c r="E298" s="34"/>
      <c r="F298" s="34"/>
      <c r="G298" s="34"/>
      <c r="H298" s="34"/>
      <c r="I298" s="34"/>
      <c r="J298" s="34"/>
      <c r="K298" s="105"/>
    </row>
    <row r="299" spans="1:11" ht="15.75" x14ac:dyDescent="0.25">
      <c r="A299" s="88">
        <v>43</v>
      </c>
      <c r="B299" s="89"/>
      <c r="C299" s="90" t="s">
        <v>59</v>
      </c>
      <c r="D299" s="146"/>
      <c r="E299" s="32">
        <f>E301</f>
        <v>0</v>
      </c>
      <c r="F299" s="32">
        <f>F301</f>
        <v>0</v>
      </c>
      <c r="G299" s="32">
        <f>G301</f>
        <v>0</v>
      </c>
      <c r="H299" s="32">
        <f>H301</f>
        <v>0</v>
      </c>
      <c r="I299" s="32">
        <f>I301</f>
        <v>0</v>
      </c>
      <c r="J299" s="32">
        <f>E299+F299+G299+H299-I299</f>
        <v>0</v>
      </c>
      <c r="K299" s="92" t="e">
        <f>J299/J$175*100</f>
        <v>#REF!</v>
      </c>
    </row>
    <row r="300" spans="1:11" x14ac:dyDescent="0.2">
      <c r="A300" s="82"/>
      <c r="B300" s="94"/>
      <c r="C300" s="95"/>
      <c r="D300" s="145"/>
      <c r="E300" s="86"/>
      <c r="F300" s="86"/>
      <c r="G300" s="86"/>
      <c r="H300" s="86"/>
      <c r="I300" s="86"/>
      <c r="J300" s="86"/>
      <c r="K300" s="87"/>
    </row>
    <row r="301" spans="1:11" x14ac:dyDescent="0.2">
      <c r="A301" s="99">
        <v>430</v>
      </c>
      <c r="B301" s="100"/>
      <c r="C301" s="101" t="s">
        <v>61</v>
      </c>
      <c r="D301" s="149"/>
      <c r="E301" s="31">
        <f>SUM(E303:E311)</f>
        <v>0</v>
      </c>
      <c r="F301" s="31">
        <f>SUM(F303:F311)</f>
        <v>0</v>
      </c>
      <c r="G301" s="31">
        <v>0</v>
      </c>
      <c r="H301" s="31">
        <f>SUM(H303:H311)</f>
        <v>0</v>
      </c>
      <c r="I301" s="31">
        <f>SUM(I303:I311)</f>
        <v>0</v>
      </c>
      <c r="J301" s="31">
        <f>E301+F301+G301+H301-I301</f>
        <v>0</v>
      </c>
      <c r="K301" s="103" t="e">
        <f>J301/J$175*100</f>
        <v>#REF!</v>
      </c>
    </row>
    <row r="302" spans="1:11" x14ac:dyDescent="0.2">
      <c r="A302" s="82"/>
      <c r="B302" s="94"/>
      <c r="C302" s="95"/>
      <c r="D302" s="145"/>
      <c r="E302" s="34"/>
      <c r="F302" s="34"/>
      <c r="G302" s="34"/>
      <c r="H302" s="34"/>
      <c r="I302" s="34"/>
      <c r="J302" s="34"/>
      <c r="K302" s="105"/>
    </row>
    <row r="303" spans="1:11" x14ac:dyDescent="0.2">
      <c r="A303" s="106">
        <v>4300</v>
      </c>
      <c r="B303" s="107"/>
      <c r="C303" s="108" t="s">
        <v>62</v>
      </c>
      <c r="D303" s="153"/>
      <c r="E303" s="109"/>
      <c r="F303" s="109"/>
      <c r="G303" s="109">
        <v>0</v>
      </c>
      <c r="H303" s="109">
        <v>0</v>
      </c>
      <c r="I303" s="429">
        <f>+E303+F303</f>
        <v>0</v>
      </c>
      <c r="J303" s="109">
        <f>E303+F303+G303+H303-I303</f>
        <v>0</v>
      </c>
      <c r="K303" s="103" t="e">
        <f>J303/J$175*100</f>
        <v>#REF!</v>
      </c>
    </row>
    <row r="304" spans="1:11" x14ac:dyDescent="0.2">
      <c r="A304" s="99">
        <v>4301</v>
      </c>
      <c r="B304" s="100"/>
      <c r="C304" s="101" t="s">
        <v>65</v>
      </c>
      <c r="D304" s="149"/>
      <c r="E304" s="31"/>
      <c r="F304" s="31"/>
      <c r="G304" s="31">
        <v>0</v>
      </c>
      <c r="H304" s="31">
        <v>0</v>
      </c>
      <c r="I304" s="31"/>
      <c r="J304" s="31">
        <f t="shared" ref="J304:J311" si="20">E304+F304+G304+H304</f>
        <v>0</v>
      </c>
      <c r="K304" s="103" t="e">
        <f t="shared" ref="K304:K315" si="21">J304/J$175*100</f>
        <v>#REF!</v>
      </c>
    </row>
    <row r="305" spans="1:11" x14ac:dyDescent="0.2">
      <c r="A305" s="99">
        <v>4302</v>
      </c>
      <c r="B305" s="100"/>
      <c r="C305" s="101" t="s">
        <v>67</v>
      </c>
      <c r="D305" s="149"/>
      <c r="E305" s="31"/>
      <c r="F305" s="31"/>
      <c r="G305" s="31">
        <v>0</v>
      </c>
      <c r="H305" s="31">
        <v>0</v>
      </c>
      <c r="I305" s="31"/>
      <c r="J305" s="31">
        <f t="shared" si="20"/>
        <v>0</v>
      </c>
      <c r="K305" s="103" t="e">
        <f t="shared" si="21"/>
        <v>#REF!</v>
      </c>
    </row>
    <row r="306" spans="1:11" x14ac:dyDescent="0.2">
      <c r="A306" s="99">
        <v>4303</v>
      </c>
      <c r="B306" s="100"/>
      <c r="C306" s="101" t="s">
        <v>69</v>
      </c>
      <c r="D306" s="149"/>
      <c r="E306" s="31"/>
      <c r="F306" s="31"/>
      <c r="G306" s="31">
        <v>0</v>
      </c>
      <c r="H306" s="31">
        <v>0</v>
      </c>
      <c r="I306" s="31"/>
      <c r="J306" s="31">
        <f t="shared" si="20"/>
        <v>0</v>
      </c>
      <c r="K306" s="103" t="e">
        <f t="shared" si="21"/>
        <v>#REF!</v>
      </c>
    </row>
    <row r="307" spans="1:11" x14ac:dyDescent="0.2">
      <c r="A307" s="99">
        <v>4304</v>
      </c>
      <c r="B307" s="100"/>
      <c r="C307" s="101" t="s">
        <v>71</v>
      </c>
      <c r="D307" s="149"/>
      <c r="E307" s="31"/>
      <c r="F307" s="31"/>
      <c r="G307" s="31">
        <v>0</v>
      </c>
      <c r="H307" s="31">
        <v>0</v>
      </c>
      <c r="I307" s="31"/>
      <c r="J307" s="31">
        <f t="shared" si="20"/>
        <v>0</v>
      </c>
      <c r="K307" s="103" t="e">
        <f t="shared" si="21"/>
        <v>#REF!</v>
      </c>
    </row>
    <row r="308" spans="1:11" x14ac:dyDescent="0.2">
      <c r="A308" s="99">
        <v>4305</v>
      </c>
      <c r="B308" s="100"/>
      <c r="C308" s="101" t="s">
        <v>73</v>
      </c>
      <c r="D308" s="149"/>
      <c r="E308" s="31"/>
      <c r="F308" s="31"/>
      <c r="G308" s="31">
        <v>0</v>
      </c>
      <c r="H308" s="31">
        <v>0</v>
      </c>
      <c r="I308" s="31"/>
      <c r="J308" s="31">
        <f t="shared" si="20"/>
        <v>0</v>
      </c>
      <c r="K308" s="103" t="e">
        <f t="shared" si="21"/>
        <v>#REF!</v>
      </c>
    </row>
    <row r="309" spans="1:11" x14ac:dyDescent="0.2">
      <c r="A309" s="99">
        <v>4306</v>
      </c>
      <c r="B309" s="100"/>
      <c r="C309" s="101" t="s">
        <v>75</v>
      </c>
      <c r="D309" s="149"/>
      <c r="E309" s="31"/>
      <c r="F309" s="31"/>
      <c r="G309" s="31">
        <v>0</v>
      </c>
      <c r="H309" s="31">
        <v>0</v>
      </c>
      <c r="I309" s="31"/>
      <c r="J309" s="31">
        <f t="shared" si="20"/>
        <v>0</v>
      </c>
      <c r="K309" s="103" t="e">
        <f t="shared" si="21"/>
        <v>#REF!</v>
      </c>
    </row>
    <row r="310" spans="1:11" x14ac:dyDescent="0.2">
      <c r="A310" s="99">
        <v>4307</v>
      </c>
      <c r="B310" s="100"/>
      <c r="C310" s="101" t="s">
        <v>77</v>
      </c>
      <c r="D310" s="149"/>
      <c r="E310" s="31"/>
      <c r="F310" s="31"/>
      <c r="G310" s="31">
        <v>0</v>
      </c>
      <c r="H310" s="31">
        <v>0</v>
      </c>
      <c r="I310" s="31"/>
      <c r="J310" s="31">
        <f t="shared" si="20"/>
        <v>0</v>
      </c>
      <c r="K310" s="103" t="e">
        <f t="shared" si="21"/>
        <v>#REF!</v>
      </c>
    </row>
    <row r="311" spans="1:11" x14ac:dyDescent="0.2">
      <c r="A311" s="99">
        <v>4308</v>
      </c>
      <c r="B311" s="100"/>
      <c r="C311" s="101" t="s">
        <v>79</v>
      </c>
      <c r="D311" s="149"/>
      <c r="E311" s="31"/>
      <c r="F311" s="31"/>
      <c r="G311" s="31">
        <v>0</v>
      </c>
      <c r="H311" s="31">
        <v>0</v>
      </c>
      <c r="I311" s="31"/>
      <c r="J311" s="31">
        <f t="shared" si="20"/>
        <v>0</v>
      </c>
      <c r="K311" s="103" t="e">
        <f t="shared" si="21"/>
        <v>#REF!</v>
      </c>
    </row>
    <row r="312" spans="1:11" x14ac:dyDescent="0.2">
      <c r="A312" s="204"/>
      <c r="B312" s="205"/>
      <c r="C312" s="206"/>
      <c r="D312" s="424"/>
      <c r="E312" s="383"/>
      <c r="F312" s="383"/>
      <c r="G312" s="383"/>
      <c r="H312" s="383"/>
      <c r="I312" s="383"/>
      <c r="J312" s="383"/>
      <c r="K312" s="425"/>
    </row>
    <row r="313" spans="1:11" ht="15.75" x14ac:dyDescent="0.25">
      <c r="A313" s="88">
        <v>45</v>
      </c>
      <c r="B313" s="89"/>
      <c r="C313" s="90" t="s">
        <v>913</v>
      </c>
      <c r="D313" s="146"/>
      <c r="E313" s="32">
        <f>+E315</f>
        <v>0</v>
      </c>
      <c r="F313" s="32">
        <f>+F315</f>
        <v>0</v>
      </c>
      <c r="G313" s="32">
        <f>+G315</f>
        <v>0</v>
      </c>
      <c r="H313" s="32">
        <f>+H315</f>
        <v>0</v>
      </c>
      <c r="I313" s="32">
        <f>+I315</f>
        <v>0</v>
      </c>
      <c r="J313" s="32">
        <f>+E313+F313+G313+H313-I313</f>
        <v>0</v>
      </c>
      <c r="K313" s="92" t="e">
        <f t="shared" si="21"/>
        <v>#REF!</v>
      </c>
    </row>
    <row r="314" spans="1:11" x14ac:dyDescent="0.2">
      <c r="A314" s="204"/>
      <c r="B314" s="205"/>
      <c r="C314" s="206"/>
      <c r="D314" s="424"/>
      <c r="E314" s="383"/>
      <c r="F314" s="383"/>
      <c r="G314" s="383"/>
      <c r="H314" s="383"/>
      <c r="I314" s="383"/>
      <c r="J314" s="383"/>
      <c r="K314" s="425"/>
    </row>
    <row r="315" spans="1:11" x14ac:dyDescent="0.2">
      <c r="A315" s="204">
        <v>450</v>
      </c>
      <c r="B315" s="205"/>
      <c r="C315" s="206" t="s">
        <v>914</v>
      </c>
      <c r="D315" s="424"/>
      <c r="E315" s="383">
        <f>+E316+E321+E324+E327</f>
        <v>0</v>
      </c>
      <c r="F315" s="383">
        <f>+F316+F321+F324+F327</f>
        <v>0</v>
      </c>
      <c r="G315" s="383">
        <f>+G316+G321+G324+G327</f>
        <v>0</v>
      </c>
      <c r="H315" s="383">
        <f>+H316+H321+H324+H327</f>
        <v>0</v>
      </c>
      <c r="I315" s="383">
        <f>+I316+I321+I324+I327</f>
        <v>0</v>
      </c>
      <c r="J315" s="383">
        <f>+E315+F315+G315+H315-I315</f>
        <v>0</v>
      </c>
      <c r="K315" s="103" t="e">
        <f t="shared" si="21"/>
        <v>#REF!</v>
      </c>
    </row>
    <row r="316" spans="1:11" x14ac:dyDescent="0.2">
      <c r="A316" s="204">
        <v>4500</v>
      </c>
      <c r="B316" s="205"/>
      <c r="C316" s="206" t="s">
        <v>915</v>
      </c>
      <c r="D316" s="424"/>
      <c r="E316" s="383">
        <f>+E317+E318+E319</f>
        <v>0</v>
      </c>
      <c r="F316" s="383">
        <f>+F317+F318+F319</f>
        <v>0</v>
      </c>
      <c r="G316" s="383">
        <f>+G317+G318+G319</f>
        <v>0</v>
      </c>
      <c r="H316" s="383">
        <f>+H317+H318+H319</f>
        <v>0</v>
      </c>
      <c r="I316" s="383">
        <f>+I317+I318+I319</f>
        <v>0</v>
      </c>
      <c r="J316" s="383"/>
      <c r="K316" s="425"/>
    </row>
    <row r="317" spans="1:11" x14ac:dyDescent="0.2">
      <c r="A317" s="204">
        <v>450000</v>
      </c>
      <c r="B317" s="205"/>
      <c r="C317" s="206" t="s">
        <v>916</v>
      </c>
      <c r="D317" s="424"/>
      <c r="E317" s="383"/>
      <c r="F317" s="383"/>
      <c r="G317" s="383"/>
      <c r="H317" s="383"/>
      <c r="I317" s="383"/>
      <c r="J317" s="383"/>
      <c r="K317" s="425"/>
    </row>
    <row r="318" spans="1:11" x14ac:dyDescent="0.2">
      <c r="A318" s="204">
        <v>450001</v>
      </c>
      <c r="B318" s="205"/>
      <c r="C318" s="206" t="s">
        <v>917</v>
      </c>
      <c r="D318" s="424"/>
      <c r="E318" s="383"/>
      <c r="F318" s="383"/>
      <c r="G318" s="383"/>
      <c r="H318" s="383"/>
      <c r="I318" s="383"/>
      <c r="J318" s="383"/>
      <c r="K318" s="425"/>
    </row>
    <row r="319" spans="1:11" x14ac:dyDescent="0.2">
      <c r="A319" s="204">
        <v>450002</v>
      </c>
      <c r="B319" s="205"/>
      <c r="C319" s="206" t="s">
        <v>918</v>
      </c>
      <c r="D319" s="424"/>
      <c r="E319" s="383"/>
      <c r="F319" s="383"/>
      <c r="G319" s="383"/>
      <c r="H319" s="383"/>
      <c r="I319" s="383"/>
      <c r="J319" s="383"/>
      <c r="K319" s="425"/>
    </row>
    <row r="320" spans="1:11" x14ac:dyDescent="0.2">
      <c r="A320" s="204"/>
      <c r="B320" s="205"/>
      <c r="C320" s="206"/>
      <c r="D320" s="424"/>
      <c r="E320" s="383"/>
      <c r="F320" s="383"/>
      <c r="G320" s="383"/>
      <c r="H320" s="383"/>
      <c r="I320" s="383"/>
      <c r="J320" s="383"/>
      <c r="K320" s="425"/>
    </row>
    <row r="321" spans="1:11" x14ac:dyDescent="0.2">
      <c r="A321" s="204">
        <v>4501</v>
      </c>
      <c r="B321" s="205"/>
      <c r="C321" s="206" t="s">
        <v>919</v>
      </c>
      <c r="D321" s="424"/>
      <c r="E321" s="383">
        <f>+E322</f>
        <v>0</v>
      </c>
      <c r="F321" s="383">
        <f>+F322</f>
        <v>0</v>
      </c>
      <c r="G321" s="383">
        <f>+G322</f>
        <v>0</v>
      </c>
      <c r="H321" s="383">
        <f>+H322</f>
        <v>0</v>
      </c>
      <c r="I321" s="383">
        <f>+I322</f>
        <v>0</v>
      </c>
      <c r="J321" s="383">
        <f>+E321+F321+G321+H321-I321</f>
        <v>0</v>
      </c>
      <c r="K321" s="103" t="e">
        <f>J321/J$175*100</f>
        <v>#REF!</v>
      </c>
    </row>
    <row r="322" spans="1:11" x14ac:dyDescent="0.2">
      <c r="A322" s="204">
        <v>450100</v>
      </c>
      <c r="B322" s="205"/>
      <c r="C322" s="206" t="s">
        <v>920</v>
      </c>
      <c r="D322" s="424"/>
      <c r="E322" s="383"/>
      <c r="F322" s="383"/>
      <c r="G322" s="383"/>
      <c r="H322" s="383"/>
      <c r="I322" s="383"/>
      <c r="J322" s="383"/>
      <c r="K322" s="425"/>
    </row>
    <row r="323" spans="1:11" x14ac:dyDescent="0.2">
      <c r="A323" s="204"/>
      <c r="B323" s="205"/>
      <c r="C323" s="206"/>
      <c r="D323" s="424"/>
      <c r="E323" s="383"/>
      <c r="F323" s="383"/>
      <c r="G323" s="383"/>
      <c r="H323" s="383"/>
      <c r="I323" s="383"/>
      <c r="J323" s="383"/>
      <c r="K323" s="425"/>
    </row>
    <row r="324" spans="1:11" x14ac:dyDescent="0.2">
      <c r="A324" s="204">
        <v>4502</v>
      </c>
      <c r="B324" s="205"/>
      <c r="C324" s="206" t="s">
        <v>921</v>
      </c>
      <c r="D324" s="424"/>
      <c r="E324" s="383">
        <f>+E325</f>
        <v>0</v>
      </c>
      <c r="F324" s="383">
        <f>+F325</f>
        <v>0</v>
      </c>
      <c r="G324" s="383">
        <f>+G325</f>
        <v>0</v>
      </c>
      <c r="H324" s="383">
        <f>+H325</f>
        <v>0</v>
      </c>
      <c r="I324" s="383">
        <f>+I325</f>
        <v>0</v>
      </c>
      <c r="J324" s="383">
        <f>+E324+F324+G324+H324-I324</f>
        <v>0</v>
      </c>
      <c r="K324" s="103" t="e">
        <f>J324/J$175*100</f>
        <v>#REF!</v>
      </c>
    </row>
    <row r="325" spans="1:11" x14ac:dyDescent="0.2">
      <c r="A325" s="204">
        <v>450200</v>
      </c>
      <c r="B325" s="205"/>
      <c r="C325" s="206" t="s">
        <v>922</v>
      </c>
      <c r="D325" s="424"/>
      <c r="E325" s="383"/>
      <c r="F325" s="383"/>
      <c r="G325" s="383"/>
      <c r="H325" s="383"/>
      <c r="I325" s="383"/>
      <c r="J325" s="383"/>
      <c r="K325" s="425"/>
    </row>
    <row r="326" spans="1:11" x14ac:dyDescent="0.2">
      <c r="A326" s="204"/>
      <c r="B326" s="205"/>
      <c r="C326" s="206"/>
      <c r="D326" s="424"/>
      <c r="E326" s="383"/>
      <c r="F326" s="383"/>
      <c r="G326" s="383"/>
      <c r="H326" s="383"/>
      <c r="I326" s="383"/>
      <c r="J326" s="383"/>
      <c r="K326" s="425"/>
    </row>
    <row r="327" spans="1:11" x14ac:dyDescent="0.2">
      <c r="A327" s="204">
        <v>4503</v>
      </c>
      <c r="B327" s="205"/>
      <c r="C327" s="206" t="s">
        <v>923</v>
      </c>
      <c r="D327" s="424"/>
      <c r="E327" s="383">
        <f>+E328</f>
        <v>0</v>
      </c>
      <c r="F327" s="383">
        <f>+F328</f>
        <v>0</v>
      </c>
      <c r="G327" s="383">
        <f>+G328</f>
        <v>0</v>
      </c>
      <c r="H327" s="383">
        <f>+H328</f>
        <v>0</v>
      </c>
      <c r="I327" s="383">
        <f>+I328</f>
        <v>0</v>
      </c>
      <c r="J327" s="383">
        <f>+E327+F327+G327+H327-I327</f>
        <v>0</v>
      </c>
      <c r="K327" s="103" t="e">
        <f>J327/J$175*100</f>
        <v>#REF!</v>
      </c>
    </row>
    <row r="328" spans="1:11" x14ac:dyDescent="0.2">
      <c r="A328" s="204">
        <v>450300</v>
      </c>
      <c r="B328" s="205"/>
      <c r="C328" s="206" t="s">
        <v>924</v>
      </c>
      <c r="D328" s="424"/>
      <c r="E328" s="383"/>
      <c r="F328" s="383"/>
      <c r="G328" s="383"/>
      <c r="H328" s="383"/>
      <c r="I328" s="383"/>
      <c r="J328" s="383"/>
      <c r="K328" s="425"/>
    </row>
    <row r="329" spans="1:11" ht="15.75" thickBot="1" x14ac:dyDescent="0.25">
      <c r="A329" s="120"/>
      <c r="B329" s="121"/>
      <c r="C329" s="122"/>
      <c r="D329" s="160"/>
      <c r="E329" s="161"/>
      <c r="F329" s="161"/>
      <c r="G329" s="161"/>
      <c r="H329" s="161"/>
      <c r="I329" s="161"/>
      <c r="J329" s="161"/>
      <c r="K329" s="162"/>
    </row>
    <row r="330" spans="1:11" ht="15.75" thickTop="1" x14ac:dyDescent="0.2">
      <c r="A330" s="135"/>
      <c r="B330" s="136"/>
      <c r="C330" s="137"/>
      <c r="D330" s="163"/>
      <c r="E330" s="164"/>
      <c r="F330" s="164"/>
      <c r="G330" s="164"/>
      <c r="H330" s="164"/>
      <c r="I330" s="164"/>
      <c r="J330" s="164"/>
      <c r="K330" s="165"/>
    </row>
    <row r="331" spans="1:11" ht="15.75" thickBot="1" x14ac:dyDescent="0.25">
      <c r="A331" s="82"/>
      <c r="B331" s="94"/>
      <c r="C331" s="95"/>
      <c r="D331" s="145"/>
      <c r="E331" s="34"/>
      <c r="F331" s="34"/>
      <c r="G331" s="34"/>
      <c r="H331" s="34"/>
      <c r="I331" s="34"/>
      <c r="J331" s="34"/>
      <c r="K331" s="166"/>
    </row>
    <row r="332" spans="1:11" ht="17.25" thickTop="1" thickBot="1" x14ac:dyDescent="0.3">
      <c r="A332" s="69" t="s">
        <v>83</v>
      </c>
      <c r="B332" s="70"/>
      <c r="C332" s="77" t="s">
        <v>828</v>
      </c>
      <c r="D332" s="142"/>
      <c r="E332" s="73">
        <f t="shared" ref="E332:J332" si="22">E22-E178</f>
        <v>0</v>
      </c>
      <c r="F332" s="73">
        <f t="shared" si="22"/>
        <v>0</v>
      </c>
      <c r="G332" s="73">
        <f t="shared" si="22"/>
        <v>0</v>
      </c>
      <c r="H332" s="73">
        <f t="shared" si="22"/>
        <v>0</v>
      </c>
      <c r="I332" s="73">
        <f t="shared" si="22"/>
        <v>0</v>
      </c>
      <c r="J332" s="167">
        <f t="shared" si="22"/>
        <v>0</v>
      </c>
      <c r="K332" s="76" t="e">
        <f>J332/J$175*100</f>
        <v>#REF!</v>
      </c>
    </row>
    <row r="333" spans="1:11" ht="16.5" thickTop="1" x14ac:dyDescent="0.25">
      <c r="A333" s="69"/>
      <c r="B333" s="70"/>
      <c r="C333" s="71" t="s">
        <v>829</v>
      </c>
      <c r="D333" s="142"/>
      <c r="E333" s="168" t="e">
        <f>+E332/$J$175*100</f>
        <v>#REF!</v>
      </c>
      <c r="F333" s="168" t="e">
        <f>+F332/$J$175*100</f>
        <v>#REF!</v>
      </c>
      <c r="G333" s="168" t="e">
        <f>+G332/$J$175*100</f>
        <v>#REF!</v>
      </c>
      <c r="H333" s="168" t="e">
        <f>+H332/$J$175*100</f>
        <v>#REF!</v>
      </c>
      <c r="I333" s="32"/>
      <c r="J333" s="32"/>
      <c r="K333" s="144"/>
    </row>
    <row r="334" spans="1:11" ht="15.75" x14ac:dyDescent="0.25">
      <c r="A334" s="88"/>
      <c r="B334" s="89"/>
      <c r="C334" s="90" t="s">
        <v>88</v>
      </c>
      <c r="D334" s="146"/>
      <c r="E334" s="48"/>
      <c r="F334" s="48"/>
      <c r="G334" s="48"/>
      <c r="H334" s="48"/>
      <c r="I334" s="32"/>
      <c r="J334" s="32"/>
      <c r="K334" s="257"/>
    </row>
    <row r="335" spans="1:11" ht="15.75" x14ac:dyDescent="0.25">
      <c r="A335" s="88"/>
      <c r="B335" s="89"/>
      <c r="C335" s="246" t="s">
        <v>864</v>
      </c>
      <c r="D335" s="146"/>
      <c r="E335" s="32"/>
      <c r="F335" s="32"/>
      <c r="G335" s="32"/>
      <c r="H335" s="32"/>
      <c r="I335" s="32"/>
      <c r="J335" s="32"/>
      <c r="K335" s="93"/>
    </row>
    <row r="336" spans="1:11" ht="15.75" thickBot="1" x14ac:dyDescent="0.25">
      <c r="A336" s="169"/>
      <c r="B336" s="170"/>
      <c r="C336" s="171"/>
      <c r="D336" s="160"/>
      <c r="E336" s="161"/>
      <c r="F336" s="161"/>
      <c r="G336" s="161"/>
      <c r="H336" s="161"/>
      <c r="I336" s="161"/>
      <c r="J336" s="161"/>
      <c r="K336" s="166"/>
    </row>
    <row r="337" spans="1:11" ht="15.75" thickTop="1" x14ac:dyDescent="0.2">
      <c r="A337" s="61"/>
      <c r="B337" s="62"/>
      <c r="C337" s="172"/>
      <c r="D337" s="173"/>
      <c r="E337" s="66"/>
      <c r="F337" s="66"/>
      <c r="G337" s="66"/>
      <c r="H337" s="66"/>
      <c r="I337" s="66"/>
      <c r="J337" s="66"/>
      <c r="K337" s="174"/>
    </row>
    <row r="338" spans="1:11" ht="15.75" x14ac:dyDescent="0.25">
      <c r="A338" s="69" t="s">
        <v>90</v>
      </c>
      <c r="B338" s="70"/>
      <c r="C338" s="77" t="s">
        <v>91</v>
      </c>
      <c r="D338" s="142"/>
      <c r="E338" s="73">
        <f t="shared" ref="E338:J338" si="23">(E22-E81)-(E178-E223-E230)</f>
        <v>0</v>
      </c>
      <c r="F338" s="73">
        <f t="shared" si="23"/>
        <v>0</v>
      </c>
      <c r="G338" s="73">
        <f t="shared" si="23"/>
        <v>0</v>
      </c>
      <c r="H338" s="73">
        <f t="shared" si="23"/>
        <v>0</v>
      </c>
      <c r="I338" s="73">
        <f t="shared" si="23"/>
        <v>0</v>
      </c>
      <c r="J338" s="73">
        <f t="shared" si="23"/>
        <v>0</v>
      </c>
      <c r="K338" s="92" t="e">
        <f>J338/J$175*100</f>
        <v>#REF!</v>
      </c>
    </row>
    <row r="339" spans="1:11" ht="15.75" x14ac:dyDescent="0.25">
      <c r="A339" s="69"/>
      <c r="B339" s="70"/>
      <c r="C339" s="77" t="s">
        <v>93</v>
      </c>
      <c r="D339" s="142"/>
      <c r="E339" s="73"/>
      <c r="F339" s="73"/>
      <c r="G339" s="73"/>
      <c r="H339" s="73"/>
      <c r="I339" s="73"/>
      <c r="J339" s="175"/>
      <c r="K339" s="93"/>
    </row>
    <row r="340" spans="1:11" ht="15.75" x14ac:dyDescent="0.25">
      <c r="A340" s="88"/>
      <c r="B340" s="89"/>
      <c r="C340" s="90" t="s">
        <v>95</v>
      </c>
      <c r="D340" s="146"/>
      <c r="E340" s="32"/>
      <c r="F340" s="32"/>
      <c r="G340" s="32"/>
      <c r="H340" s="32"/>
      <c r="I340" s="32"/>
      <c r="J340" s="29"/>
      <c r="K340" s="93"/>
    </row>
    <row r="341" spans="1:11" ht="15.75" thickBot="1" x14ac:dyDescent="0.25">
      <c r="A341" s="120"/>
      <c r="B341" s="121"/>
      <c r="C341" s="122"/>
      <c r="D341" s="160"/>
      <c r="E341" s="124"/>
      <c r="F341" s="124"/>
      <c r="G341" s="124"/>
      <c r="H341" s="124"/>
      <c r="I341" s="124"/>
      <c r="J341" s="124"/>
      <c r="K341" s="125"/>
    </row>
    <row r="342" spans="1:11" ht="15.75" thickTop="1" x14ac:dyDescent="0.2">
      <c r="A342" s="61"/>
      <c r="B342" s="62"/>
      <c r="C342" s="172"/>
      <c r="D342" s="173"/>
      <c r="E342" s="176"/>
      <c r="F342" s="176"/>
      <c r="G342" s="176"/>
      <c r="H342" s="176"/>
      <c r="I342" s="176"/>
      <c r="J342" s="176"/>
      <c r="K342" s="177"/>
    </row>
    <row r="343" spans="1:11" ht="15.75" x14ac:dyDescent="0.25">
      <c r="A343" s="69" t="s">
        <v>96</v>
      </c>
      <c r="B343" s="70"/>
      <c r="C343" s="77" t="s">
        <v>97</v>
      </c>
      <c r="D343" s="142"/>
      <c r="E343" s="73">
        <f t="shared" ref="E343:J343" si="24">E25-(E181+E243)</f>
        <v>0</v>
      </c>
      <c r="F343" s="73">
        <f t="shared" si="24"/>
        <v>0</v>
      </c>
      <c r="G343" s="73">
        <f t="shared" si="24"/>
        <v>0</v>
      </c>
      <c r="H343" s="73">
        <f t="shared" si="24"/>
        <v>0</v>
      </c>
      <c r="I343" s="73">
        <f t="shared" si="24"/>
        <v>0</v>
      </c>
      <c r="J343" s="73">
        <f t="shared" si="24"/>
        <v>0</v>
      </c>
      <c r="K343" s="92" t="e">
        <f>J343/J$175*100</f>
        <v>#REF!</v>
      </c>
    </row>
    <row r="344" spans="1:11" ht="15.75" x14ac:dyDescent="0.25">
      <c r="A344" s="69"/>
      <c r="B344" s="70"/>
      <c r="C344" s="77" t="s">
        <v>93</v>
      </c>
      <c r="D344" s="142"/>
      <c r="E344" s="73"/>
      <c r="F344" s="73"/>
      <c r="G344" s="73"/>
      <c r="H344" s="73"/>
      <c r="I344" s="73"/>
      <c r="J344" s="73"/>
      <c r="K344" s="93"/>
    </row>
    <row r="345" spans="1:11" ht="15.75" x14ac:dyDescent="0.25">
      <c r="A345" s="88"/>
      <c r="B345" s="89"/>
      <c r="C345" s="90" t="s">
        <v>99</v>
      </c>
      <c r="D345" s="146"/>
      <c r="E345" s="32"/>
      <c r="F345" s="32"/>
      <c r="G345" s="32"/>
      <c r="H345" s="32"/>
      <c r="I345" s="32"/>
      <c r="J345" s="29"/>
      <c r="K345" s="93"/>
    </row>
    <row r="346" spans="1:11" ht="15.75" thickBot="1" x14ac:dyDescent="0.25">
      <c r="A346" s="178"/>
      <c r="B346" s="179"/>
      <c r="C346" s="180"/>
      <c r="D346" s="181"/>
      <c r="E346" s="182"/>
      <c r="F346" s="182"/>
      <c r="G346" s="182"/>
      <c r="H346" s="182"/>
      <c r="I346" s="182"/>
      <c r="J346" s="182"/>
      <c r="K346" s="183"/>
    </row>
    <row r="347" spans="1:11" ht="15.75" thickTop="1" x14ac:dyDescent="0.2">
      <c r="A347" s="184"/>
      <c r="B347" s="184"/>
      <c r="C347" s="56"/>
      <c r="D347" s="185"/>
      <c r="E347" s="186"/>
      <c r="F347" s="186"/>
      <c r="G347" s="186"/>
      <c r="H347" s="186"/>
      <c r="I347" s="186"/>
      <c r="J347" s="186"/>
      <c r="K347" s="186"/>
    </row>
    <row r="348" spans="1:11" x14ac:dyDescent="0.2">
      <c r="A348" s="53"/>
      <c r="B348" s="53"/>
      <c r="C348" s="54"/>
      <c r="D348" s="187"/>
      <c r="E348" s="188"/>
      <c r="F348" s="188"/>
      <c r="G348" s="188"/>
      <c r="H348" s="188"/>
      <c r="I348" s="188"/>
      <c r="J348" s="188"/>
      <c r="K348" s="51"/>
    </row>
    <row r="349" spans="1:11" x14ac:dyDescent="0.2">
      <c r="A349" s="53"/>
      <c r="B349" s="53"/>
      <c r="C349" s="54"/>
      <c r="D349" s="187"/>
      <c r="E349" s="188"/>
      <c r="F349" s="188"/>
      <c r="G349" s="188"/>
      <c r="H349" s="188"/>
      <c r="I349" s="188"/>
      <c r="J349" s="188"/>
      <c r="K349" s="51"/>
    </row>
    <row r="350" spans="1:11" ht="23.25" x14ac:dyDescent="0.35">
      <c r="A350" s="201"/>
      <c r="B350" s="237" t="s">
        <v>841</v>
      </c>
      <c r="C350" s="239" t="s">
        <v>842</v>
      </c>
      <c r="D350" s="239" t="s">
        <v>843</v>
      </c>
      <c r="E350" s="237"/>
      <c r="F350" s="240"/>
      <c r="G350" s="264"/>
      <c r="H350" s="264"/>
      <c r="I350" s="381"/>
      <c r="J350" s="381"/>
      <c r="K350" s="9"/>
    </row>
    <row r="351" spans="1:11" x14ac:dyDescent="0.2">
      <c r="A351" s="53"/>
      <c r="B351" s="53"/>
      <c r="C351" s="54"/>
      <c r="D351" s="54"/>
      <c r="E351" s="51"/>
      <c r="F351" s="51"/>
      <c r="G351" s="51"/>
      <c r="H351" s="51"/>
      <c r="I351" s="51"/>
      <c r="J351" s="51"/>
      <c r="K351" s="51"/>
    </row>
    <row r="352" spans="1:11" ht="16.5" thickBot="1" x14ac:dyDescent="0.3">
      <c r="A352" s="305"/>
      <c r="B352" s="305"/>
      <c r="C352" s="346"/>
      <c r="D352" s="346"/>
      <c r="E352" s="241"/>
      <c r="F352" s="241"/>
      <c r="G352" s="241"/>
      <c r="H352" s="241"/>
      <c r="I352" s="55" t="s">
        <v>208</v>
      </c>
      <c r="J352" s="55"/>
      <c r="K352" s="241"/>
    </row>
    <row r="353" spans="1:11" ht="16.5" thickTop="1" x14ac:dyDescent="0.25">
      <c r="A353" s="306"/>
      <c r="B353" s="317"/>
      <c r="C353" s="347"/>
      <c r="D353" s="373"/>
      <c r="E353" s="334"/>
      <c r="F353" s="335"/>
      <c r="G353" s="335"/>
      <c r="H353" s="335"/>
      <c r="I353" s="335"/>
      <c r="J353" s="339"/>
      <c r="K353" s="276"/>
    </row>
    <row r="354" spans="1:11" ht="20.25" x14ac:dyDescent="0.3">
      <c r="A354" s="307"/>
      <c r="B354" s="242"/>
      <c r="C354" s="345"/>
      <c r="D354" s="374"/>
      <c r="E354" s="336"/>
      <c r="F354" s="337"/>
      <c r="G354" s="337"/>
      <c r="H354" s="337"/>
      <c r="I354" s="337"/>
      <c r="J354" s="340"/>
      <c r="K354" s="277" t="s">
        <v>209</v>
      </c>
    </row>
    <row r="355" spans="1:11" ht="15.75" x14ac:dyDescent="0.25">
      <c r="A355" s="307"/>
      <c r="B355" s="242"/>
      <c r="C355" s="345"/>
      <c r="D355" s="374"/>
      <c r="E355" s="278"/>
      <c r="F355" s="279"/>
      <c r="G355" s="280"/>
      <c r="H355" s="281"/>
      <c r="I355" s="282" t="s">
        <v>210</v>
      </c>
      <c r="J355" s="282" t="s">
        <v>211</v>
      </c>
      <c r="K355" s="277" t="s">
        <v>212</v>
      </c>
    </row>
    <row r="356" spans="1:11" ht="15.75" x14ac:dyDescent="0.25">
      <c r="A356" s="329" t="s">
        <v>213</v>
      </c>
      <c r="B356" s="242"/>
      <c r="C356" s="345"/>
      <c r="D356" s="374"/>
      <c r="E356" s="283" t="s">
        <v>214</v>
      </c>
      <c r="F356" s="284" t="s">
        <v>215</v>
      </c>
      <c r="G356" s="288" t="s">
        <v>216</v>
      </c>
      <c r="H356" s="289" t="s">
        <v>217</v>
      </c>
      <c r="I356" s="285" t="s">
        <v>218</v>
      </c>
      <c r="J356" s="285" t="s">
        <v>219</v>
      </c>
      <c r="K356" s="277" t="s">
        <v>220</v>
      </c>
    </row>
    <row r="357" spans="1:11" ht="15.75" x14ac:dyDescent="0.25">
      <c r="A357" s="307"/>
      <c r="B357" s="242"/>
      <c r="C357" s="345"/>
      <c r="D357" s="374"/>
      <c r="E357" s="283" t="s">
        <v>221</v>
      </c>
      <c r="F357" s="284" t="s">
        <v>222</v>
      </c>
      <c r="G357" s="288"/>
      <c r="H357" s="289"/>
      <c r="I357" s="294" t="s">
        <v>223</v>
      </c>
      <c r="J357" s="285" t="s">
        <v>224</v>
      </c>
      <c r="K357" s="277" t="s">
        <v>225</v>
      </c>
    </row>
    <row r="358" spans="1:11" ht="16.5" thickBot="1" x14ac:dyDescent="0.3">
      <c r="A358" s="308"/>
      <c r="B358" s="243"/>
      <c r="C358" s="346"/>
      <c r="D358" s="375"/>
      <c r="E358" s="290"/>
      <c r="F358" s="291"/>
      <c r="G358" s="292"/>
      <c r="H358" s="293"/>
      <c r="I358" s="295" t="s">
        <v>226</v>
      </c>
      <c r="J358" s="286"/>
      <c r="K358" s="287" t="s">
        <v>228</v>
      </c>
    </row>
    <row r="359" spans="1:11" ht="15.75" thickTop="1" x14ac:dyDescent="0.2">
      <c r="A359" s="57"/>
      <c r="B359" s="58"/>
      <c r="C359" s="59"/>
      <c r="D359" s="60"/>
      <c r="E359" s="260" t="s">
        <v>229</v>
      </c>
      <c r="F359" s="260" t="s">
        <v>230</v>
      </c>
      <c r="G359" s="260" t="s">
        <v>231</v>
      </c>
      <c r="H359" s="260" t="s">
        <v>232</v>
      </c>
      <c r="I359" s="260" t="s">
        <v>233</v>
      </c>
      <c r="J359" s="260" t="s">
        <v>234</v>
      </c>
      <c r="K359" s="272"/>
    </row>
    <row r="360" spans="1:11" ht="15.75" x14ac:dyDescent="0.25">
      <c r="A360" s="190"/>
      <c r="B360" s="191" t="s">
        <v>100</v>
      </c>
      <c r="C360" s="192" t="s">
        <v>674</v>
      </c>
      <c r="D360" s="193"/>
      <c r="E360" s="194"/>
      <c r="F360" s="194"/>
      <c r="G360" s="194"/>
      <c r="H360" s="194"/>
      <c r="I360" s="194"/>
      <c r="J360" s="194"/>
      <c r="K360" s="195"/>
    </row>
    <row r="361" spans="1:11" ht="15.75" x14ac:dyDescent="0.25">
      <c r="A361" s="190"/>
      <c r="B361" s="191"/>
      <c r="C361" s="192" t="s">
        <v>676</v>
      </c>
      <c r="D361" s="193"/>
      <c r="E361" s="194">
        <f t="shared" ref="E361:J361" si="25">E363+E373+E378</f>
        <v>0</v>
      </c>
      <c r="F361" s="194">
        <f t="shared" si="25"/>
        <v>0</v>
      </c>
      <c r="G361" s="194">
        <f t="shared" si="25"/>
        <v>0</v>
      </c>
      <c r="H361" s="194">
        <f t="shared" si="25"/>
        <v>0</v>
      </c>
      <c r="I361" s="194">
        <f t="shared" si="25"/>
        <v>0</v>
      </c>
      <c r="J361" s="196">
        <f t="shared" si="25"/>
        <v>0</v>
      </c>
      <c r="K361" s="197" t="e">
        <f>J361/J$175*100</f>
        <v>#REF!</v>
      </c>
    </row>
    <row r="362" spans="1:11" x14ac:dyDescent="0.2">
      <c r="A362" s="82"/>
      <c r="B362" s="94"/>
      <c r="C362" s="95"/>
      <c r="D362" s="145"/>
      <c r="E362" s="34"/>
      <c r="F362" s="34"/>
      <c r="G362" s="34"/>
      <c r="H362" s="34"/>
      <c r="I362" s="34"/>
      <c r="J362" s="34"/>
      <c r="K362" s="105"/>
    </row>
    <row r="363" spans="1:11" x14ac:dyDescent="0.2">
      <c r="A363" s="99">
        <v>750</v>
      </c>
      <c r="B363" s="100"/>
      <c r="C363" s="101" t="s">
        <v>678</v>
      </c>
      <c r="D363" s="149"/>
      <c r="E363" s="31">
        <f t="shared" ref="E363:J363" si="26">SUM(E364:E371)</f>
        <v>0</v>
      </c>
      <c r="F363" s="31">
        <f t="shared" si="26"/>
        <v>0</v>
      </c>
      <c r="G363" s="31">
        <f t="shared" si="26"/>
        <v>0</v>
      </c>
      <c r="H363" s="31">
        <f t="shared" si="26"/>
        <v>0</v>
      </c>
      <c r="I363" s="31">
        <f t="shared" si="26"/>
        <v>0</v>
      </c>
      <c r="J363" s="31">
        <f t="shared" si="26"/>
        <v>0</v>
      </c>
      <c r="K363" s="103" t="e">
        <f t="shared" ref="K363:K371" si="27">J363/J$175*100</f>
        <v>#REF!</v>
      </c>
    </row>
    <row r="364" spans="1:11" x14ac:dyDescent="0.2">
      <c r="A364" s="99">
        <v>7500</v>
      </c>
      <c r="B364" s="100"/>
      <c r="C364" s="101" t="s">
        <v>680</v>
      </c>
      <c r="D364" s="149"/>
      <c r="E364" s="31"/>
      <c r="F364" s="31"/>
      <c r="G364" s="31"/>
      <c r="H364" s="31">
        <v>0</v>
      </c>
      <c r="I364" s="31"/>
      <c r="J364" s="31">
        <f t="shared" ref="J364:J370" si="28">E364+F364+G364+H364-I364</f>
        <v>0</v>
      </c>
      <c r="K364" s="103" t="e">
        <f t="shared" si="27"/>
        <v>#REF!</v>
      </c>
    </row>
    <row r="365" spans="1:11" x14ac:dyDescent="0.2">
      <c r="A365" s="99">
        <v>7501</v>
      </c>
      <c r="B365" s="100"/>
      <c r="C365" s="101" t="s">
        <v>876</v>
      </c>
      <c r="D365" s="149"/>
      <c r="E365" s="31"/>
      <c r="F365" s="31"/>
      <c r="G365" s="31">
        <v>0</v>
      </c>
      <c r="H365" s="31">
        <v>0</v>
      </c>
      <c r="I365" s="31"/>
      <c r="J365" s="31">
        <f t="shared" si="28"/>
        <v>0</v>
      </c>
      <c r="K365" s="103" t="e">
        <f t="shared" si="27"/>
        <v>#REF!</v>
      </c>
    </row>
    <row r="366" spans="1:11" x14ac:dyDescent="0.2">
      <c r="A366" s="99">
        <v>7502</v>
      </c>
      <c r="B366" s="100"/>
      <c r="C366" s="101" t="s">
        <v>682</v>
      </c>
      <c r="D366" s="149"/>
      <c r="E366" s="31"/>
      <c r="F366" s="31"/>
      <c r="G366" s="31">
        <v>0</v>
      </c>
      <c r="H366" s="31">
        <v>0</v>
      </c>
      <c r="I366" s="31"/>
      <c r="J366" s="31">
        <f t="shared" si="28"/>
        <v>0</v>
      </c>
      <c r="K366" s="103" t="e">
        <f t="shared" si="27"/>
        <v>#REF!</v>
      </c>
    </row>
    <row r="367" spans="1:11" x14ac:dyDescent="0.2">
      <c r="A367" s="99">
        <v>7503</v>
      </c>
      <c r="B367" s="100"/>
      <c r="C367" s="101" t="s">
        <v>877</v>
      </c>
      <c r="D367" s="149"/>
      <c r="E367" s="31"/>
      <c r="F367" s="31"/>
      <c r="G367" s="31">
        <v>0</v>
      </c>
      <c r="H367" s="31">
        <v>0</v>
      </c>
      <c r="I367" s="31"/>
      <c r="J367" s="31">
        <f t="shared" si="28"/>
        <v>0</v>
      </c>
      <c r="K367" s="103" t="e">
        <f t="shared" si="27"/>
        <v>#REF!</v>
      </c>
    </row>
    <row r="368" spans="1:11" s="423" customFormat="1" x14ac:dyDescent="0.2">
      <c r="A368" s="99">
        <v>7504</v>
      </c>
      <c r="B368" s="100"/>
      <c r="C368" s="101" t="s">
        <v>686</v>
      </c>
      <c r="D368" s="149"/>
      <c r="E368" s="31"/>
      <c r="F368" s="31"/>
      <c r="G368" s="31">
        <v>0</v>
      </c>
      <c r="H368" s="31">
        <v>0</v>
      </c>
      <c r="I368" s="31"/>
      <c r="J368" s="31">
        <f t="shared" si="28"/>
        <v>0</v>
      </c>
      <c r="K368" s="103" t="e">
        <f t="shared" si="27"/>
        <v>#REF!</v>
      </c>
    </row>
    <row r="369" spans="1:11" s="423" customFormat="1" x14ac:dyDescent="0.2">
      <c r="A369" s="99">
        <v>7505</v>
      </c>
      <c r="B369" s="100"/>
      <c r="C369" s="101" t="s">
        <v>688</v>
      </c>
      <c r="D369" s="149"/>
      <c r="E369" s="31"/>
      <c r="F369" s="31"/>
      <c r="G369" s="31">
        <v>0</v>
      </c>
      <c r="H369" s="31"/>
      <c r="I369" s="31"/>
      <c r="J369" s="31">
        <f t="shared" si="28"/>
        <v>0</v>
      </c>
      <c r="K369" s="103" t="e">
        <f t="shared" si="27"/>
        <v>#REF!</v>
      </c>
    </row>
    <row r="370" spans="1:11" x14ac:dyDescent="0.2">
      <c r="A370" s="99">
        <v>7506</v>
      </c>
      <c r="B370" s="100"/>
      <c r="C370" s="101" t="s">
        <v>692</v>
      </c>
      <c r="D370" s="149"/>
      <c r="E370" s="31"/>
      <c r="F370" s="31"/>
      <c r="G370" s="31">
        <v>0</v>
      </c>
      <c r="H370" s="31">
        <v>0</v>
      </c>
      <c r="I370" s="31"/>
      <c r="J370" s="31">
        <f t="shared" si="28"/>
        <v>0</v>
      </c>
      <c r="K370" s="103" t="e">
        <f t="shared" si="27"/>
        <v>#REF!</v>
      </c>
    </row>
    <row r="371" spans="1:11" x14ac:dyDescent="0.2">
      <c r="A371" s="99">
        <v>7507</v>
      </c>
      <c r="B371" s="100"/>
      <c r="C371" s="101" t="s">
        <v>690</v>
      </c>
      <c r="D371" s="149"/>
      <c r="E371" s="31"/>
      <c r="F371" s="31"/>
      <c r="G371" s="31"/>
      <c r="H371" s="31"/>
      <c r="I371" s="31">
        <f>+H371+G371+F371+E371</f>
        <v>0</v>
      </c>
      <c r="J371" s="31">
        <f>E371+F371+G371+H371-I371</f>
        <v>0</v>
      </c>
      <c r="K371" s="103" t="e">
        <f t="shared" si="27"/>
        <v>#REF!</v>
      </c>
    </row>
    <row r="372" spans="1:11" x14ac:dyDescent="0.2">
      <c r="A372" s="82"/>
      <c r="B372" s="94"/>
      <c r="C372" s="95"/>
      <c r="D372" s="145"/>
      <c r="E372" s="34"/>
      <c r="F372" s="34"/>
      <c r="G372" s="34"/>
      <c r="H372" s="34"/>
      <c r="I372" s="34"/>
      <c r="J372" s="34"/>
      <c r="K372" s="105"/>
    </row>
    <row r="373" spans="1:11" x14ac:dyDescent="0.2">
      <c r="A373" s="99">
        <v>751</v>
      </c>
      <c r="B373" s="100"/>
      <c r="C373" s="101" t="s">
        <v>676</v>
      </c>
      <c r="D373" s="149"/>
      <c r="E373" s="31">
        <f>SUM(E374:E376)</f>
        <v>0</v>
      </c>
      <c r="F373" s="31">
        <f>SUM(F374:F376)</f>
        <v>0</v>
      </c>
      <c r="G373" s="31">
        <f>SUM(G374:G376)</f>
        <v>0</v>
      </c>
      <c r="H373" s="31">
        <v>0</v>
      </c>
      <c r="I373" s="31">
        <f>SUM(I374:I376)</f>
        <v>0</v>
      </c>
      <c r="J373" s="31">
        <f>SUM(J374:J376)</f>
        <v>0</v>
      </c>
      <c r="K373" s="103" t="e">
        <f>J373/J$175*100</f>
        <v>#REF!</v>
      </c>
    </row>
    <row r="374" spans="1:11" x14ac:dyDescent="0.2">
      <c r="A374" s="99">
        <v>7510</v>
      </c>
      <c r="B374" s="100"/>
      <c r="C374" s="101" t="s">
        <v>694</v>
      </c>
      <c r="D374" s="149"/>
      <c r="E374" s="31"/>
      <c r="F374" s="31"/>
      <c r="G374" s="31">
        <v>0</v>
      </c>
      <c r="H374" s="31">
        <v>0</v>
      </c>
      <c r="I374" s="31">
        <v>0</v>
      </c>
      <c r="J374" s="31">
        <f>E374+F374+G374+H374-I374</f>
        <v>0</v>
      </c>
      <c r="K374" s="103" t="e">
        <f>J374/J$175*100</f>
        <v>#REF!</v>
      </c>
    </row>
    <row r="375" spans="1:11" x14ac:dyDescent="0.2">
      <c r="A375" s="99">
        <v>7511</v>
      </c>
      <c r="B375" s="100"/>
      <c r="C375" s="101" t="s">
        <v>696</v>
      </c>
      <c r="D375" s="149"/>
      <c r="E375" s="31"/>
      <c r="F375" s="31"/>
      <c r="G375" s="31">
        <v>0</v>
      </c>
      <c r="H375" s="31">
        <v>0</v>
      </c>
      <c r="I375" s="31">
        <v>0</v>
      </c>
      <c r="J375" s="31">
        <f>E375+F375+G375+H375-I375</f>
        <v>0</v>
      </c>
      <c r="K375" s="103" t="e">
        <f>J375/J$175*100</f>
        <v>#REF!</v>
      </c>
    </row>
    <row r="376" spans="1:11" x14ac:dyDescent="0.2">
      <c r="A376" s="99">
        <v>7512</v>
      </c>
      <c r="B376" s="100"/>
      <c r="C376" s="101" t="s">
        <v>698</v>
      </c>
      <c r="D376" s="149"/>
      <c r="E376" s="31"/>
      <c r="F376" s="31"/>
      <c r="G376" s="31">
        <v>0</v>
      </c>
      <c r="H376" s="31">
        <v>0</v>
      </c>
      <c r="I376" s="31">
        <v>0</v>
      </c>
      <c r="J376" s="31">
        <f>E376+F376+G376+H376-I376</f>
        <v>0</v>
      </c>
      <c r="K376" s="103" t="e">
        <f>J376/J$175*100</f>
        <v>#REF!</v>
      </c>
    </row>
    <row r="377" spans="1:11" x14ac:dyDescent="0.2">
      <c r="A377" s="82"/>
      <c r="B377" s="94"/>
      <c r="C377" s="95"/>
      <c r="D377" s="145"/>
      <c r="E377" s="34"/>
      <c r="F377" s="34"/>
      <c r="G377" s="34"/>
      <c r="H377" s="34"/>
      <c r="I377" s="34"/>
      <c r="J377" s="34"/>
      <c r="K377" s="150"/>
    </row>
    <row r="378" spans="1:11" x14ac:dyDescent="0.2">
      <c r="A378" s="99">
        <v>752</v>
      </c>
      <c r="B378" s="100"/>
      <c r="C378" s="101" t="s">
        <v>700</v>
      </c>
      <c r="D378" s="149"/>
      <c r="E378" s="31">
        <f>E379</f>
        <v>0</v>
      </c>
      <c r="F378" s="31">
        <f>F379</f>
        <v>0</v>
      </c>
      <c r="G378" s="31">
        <f>G379</f>
        <v>0</v>
      </c>
      <c r="H378" s="31">
        <f>H379</f>
        <v>0</v>
      </c>
      <c r="I378" s="31">
        <f>I379</f>
        <v>0</v>
      </c>
      <c r="J378" s="31">
        <f>E378+F378+G378+H378</f>
        <v>0</v>
      </c>
      <c r="K378" s="103" t="e">
        <f>J378/J$175*100</f>
        <v>#REF!</v>
      </c>
    </row>
    <row r="379" spans="1:11" x14ac:dyDescent="0.2">
      <c r="A379" s="99">
        <v>7520</v>
      </c>
      <c r="B379" s="100"/>
      <c r="C379" s="101" t="s">
        <v>102</v>
      </c>
      <c r="D379" s="149"/>
      <c r="E379" s="31"/>
      <c r="F379" s="31">
        <v>0</v>
      </c>
      <c r="G379" s="31">
        <v>0</v>
      </c>
      <c r="H379" s="31">
        <v>0</v>
      </c>
      <c r="I379" s="31">
        <v>0</v>
      </c>
      <c r="J379" s="31">
        <f>E379+F379+G379+H379-I379</f>
        <v>0</v>
      </c>
      <c r="K379" s="103" t="e">
        <f>J379/J$175*100</f>
        <v>#REF!</v>
      </c>
    </row>
    <row r="380" spans="1:11" ht="15.75" thickBot="1" x14ac:dyDescent="0.25">
      <c r="A380" s="120"/>
      <c r="B380" s="121"/>
      <c r="C380" s="122"/>
      <c r="D380" s="160"/>
      <c r="E380" s="161"/>
      <c r="F380" s="161"/>
      <c r="G380" s="161"/>
      <c r="H380" s="161"/>
      <c r="I380" s="161"/>
      <c r="J380" s="161"/>
      <c r="K380" s="166"/>
    </row>
    <row r="381" spans="1:11" ht="15.75" thickTop="1" x14ac:dyDescent="0.2">
      <c r="A381" s="135"/>
      <c r="B381" s="136"/>
      <c r="C381" s="137"/>
      <c r="D381" s="163"/>
      <c r="E381" s="164"/>
      <c r="F381" s="164"/>
      <c r="G381" s="164"/>
      <c r="H381" s="164"/>
      <c r="I381" s="164"/>
      <c r="J381" s="164"/>
      <c r="K381" s="198"/>
    </row>
    <row r="382" spans="1:11" ht="15.75" x14ac:dyDescent="0.25">
      <c r="A382" s="69"/>
      <c r="B382" s="70" t="s">
        <v>104</v>
      </c>
      <c r="C382" s="77" t="s">
        <v>105</v>
      </c>
      <c r="D382" s="142"/>
      <c r="E382" s="73"/>
      <c r="F382" s="73"/>
      <c r="G382" s="73"/>
      <c r="H382" s="73"/>
      <c r="I382" s="73"/>
      <c r="J382" s="73"/>
      <c r="K382" s="93"/>
    </row>
    <row r="383" spans="1:11" ht="15.75" x14ac:dyDescent="0.25">
      <c r="A383" s="69"/>
      <c r="B383" s="70"/>
      <c r="C383" s="77" t="s">
        <v>107</v>
      </c>
      <c r="D383" s="142"/>
      <c r="E383" s="73">
        <f t="shared" ref="E383:J383" si="29">E385+E394+E402+E407</f>
        <v>0</v>
      </c>
      <c r="F383" s="73">
        <f t="shared" si="29"/>
        <v>0</v>
      </c>
      <c r="G383" s="73">
        <f t="shared" si="29"/>
        <v>0</v>
      </c>
      <c r="H383" s="73">
        <f t="shared" si="29"/>
        <v>0</v>
      </c>
      <c r="I383" s="73">
        <f t="shared" si="29"/>
        <v>0</v>
      </c>
      <c r="J383" s="73">
        <f t="shared" si="29"/>
        <v>0</v>
      </c>
      <c r="K383" s="197" t="e">
        <f>J383/J$175*100</f>
        <v>#REF!</v>
      </c>
    </row>
    <row r="384" spans="1:11" x14ac:dyDescent="0.2">
      <c r="A384" s="82"/>
      <c r="B384" s="94"/>
      <c r="C384" s="95"/>
      <c r="D384" s="145"/>
      <c r="E384" s="34"/>
      <c r="F384" s="34"/>
      <c r="G384" s="34"/>
      <c r="H384" s="34"/>
      <c r="I384" s="34"/>
      <c r="J384" s="34"/>
      <c r="K384" s="105"/>
    </row>
    <row r="385" spans="1:11" x14ac:dyDescent="0.2">
      <c r="A385" s="99">
        <v>440</v>
      </c>
      <c r="B385" s="100"/>
      <c r="C385" s="101" t="s">
        <v>109</v>
      </c>
      <c r="D385" s="149"/>
      <c r="E385" s="31">
        <f t="shared" ref="E385:J385" si="30">SUM(E386:E392)</f>
        <v>0</v>
      </c>
      <c r="F385" s="31">
        <f t="shared" si="30"/>
        <v>0</v>
      </c>
      <c r="G385" s="31">
        <v>0</v>
      </c>
      <c r="H385" s="31">
        <v>0</v>
      </c>
      <c r="I385" s="31">
        <f t="shared" si="30"/>
        <v>0</v>
      </c>
      <c r="J385" s="31">
        <f t="shared" si="30"/>
        <v>0</v>
      </c>
      <c r="K385" s="103" t="e">
        <f t="shared" ref="K385:K392" si="31">J385/J$175*100</f>
        <v>#REF!</v>
      </c>
    </row>
    <row r="386" spans="1:11" x14ac:dyDescent="0.2">
      <c r="A386" s="99">
        <v>4400</v>
      </c>
      <c r="B386" s="100"/>
      <c r="C386" s="101" t="s">
        <v>111</v>
      </c>
      <c r="D386" s="149"/>
      <c r="E386" s="31"/>
      <c r="F386" s="31"/>
      <c r="G386" s="31">
        <v>0</v>
      </c>
      <c r="H386" s="31">
        <v>0</v>
      </c>
      <c r="I386" s="31">
        <v>0</v>
      </c>
      <c r="J386" s="31">
        <f t="shared" ref="J386:J392" si="32">E386+F386+G386+H386</f>
        <v>0</v>
      </c>
      <c r="K386" s="103" t="e">
        <f t="shared" si="31"/>
        <v>#REF!</v>
      </c>
    </row>
    <row r="387" spans="1:11" x14ac:dyDescent="0.2">
      <c r="A387" s="99">
        <v>4401</v>
      </c>
      <c r="B387" s="100"/>
      <c r="C387" s="101" t="s">
        <v>113</v>
      </c>
      <c r="D387" s="149"/>
      <c r="E387" s="31"/>
      <c r="F387" s="31"/>
      <c r="G387" s="31">
        <v>0</v>
      </c>
      <c r="H387" s="31">
        <v>0</v>
      </c>
      <c r="I387" s="31">
        <v>0</v>
      </c>
      <c r="J387" s="31">
        <f t="shared" si="32"/>
        <v>0</v>
      </c>
      <c r="K387" s="103" t="e">
        <f t="shared" si="31"/>
        <v>#REF!</v>
      </c>
    </row>
    <row r="388" spans="1:11" x14ac:dyDescent="0.2">
      <c r="A388" s="99">
        <v>4402</v>
      </c>
      <c r="B388" s="100"/>
      <c r="C388" s="101" t="s">
        <v>115</v>
      </c>
      <c r="D388" s="149"/>
      <c r="E388" s="31"/>
      <c r="F388" s="31"/>
      <c r="G388" s="31">
        <v>0</v>
      </c>
      <c r="H388" s="31">
        <v>0</v>
      </c>
      <c r="I388" s="31">
        <v>0</v>
      </c>
      <c r="J388" s="31">
        <f t="shared" si="32"/>
        <v>0</v>
      </c>
      <c r="K388" s="103" t="e">
        <f t="shared" si="31"/>
        <v>#REF!</v>
      </c>
    </row>
    <row r="389" spans="1:11" x14ac:dyDescent="0.2">
      <c r="A389" s="99">
        <v>4403</v>
      </c>
      <c r="B389" s="100"/>
      <c r="C389" s="101" t="s">
        <v>117</v>
      </c>
      <c r="D389" s="149"/>
      <c r="E389" s="31"/>
      <c r="F389" s="31"/>
      <c r="G389" s="31">
        <v>0</v>
      </c>
      <c r="H389" s="31">
        <v>0</v>
      </c>
      <c r="I389" s="31">
        <v>0</v>
      </c>
      <c r="J389" s="31">
        <f t="shared" si="32"/>
        <v>0</v>
      </c>
      <c r="K389" s="103" t="e">
        <f t="shared" si="31"/>
        <v>#REF!</v>
      </c>
    </row>
    <row r="390" spans="1:11" x14ac:dyDescent="0.2">
      <c r="A390" s="99">
        <v>4404</v>
      </c>
      <c r="B390" s="100"/>
      <c r="C390" s="101" t="s">
        <v>119</v>
      </c>
      <c r="D390" s="149"/>
      <c r="E390" s="31"/>
      <c r="F390" s="31"/>
      <c r="G390" s="31">
        <v>0</v>
      </c>
      <c r="H390" s="31">
        <v>0</v>
      </c>
      <c r="I390" s="31">
        <v>0</v>
      </c>
      <c r="J390" s="31">
        <f t="shared" si="32"/>
        <v>0</v>
      </c>
      <c r="K390" s="103" t="e">
        <f t="shared" si="31"/>
        <v>#REF!</v>
      </c>
    </row>
    <row r="391" spans="1:11" x14ac:dyDescent="0.2">
      <c r="A391" s="106">
        <v>4405</v>
      </c>
      <c r="B391" s="107"/>
      <c r="C391" s="108" t="s">
        <v>121</v>
      </c>
      <c r="D391" s="153"/>
      <c r="E391" s="109"/>
      <c r="F391" s="109"/>
      <c r="G391" s="109">
        <v>0</v>
      </c>
      <c r="H391" s="109">
        <v>0</v>
      </c>
      <c r="I391" s="109">
        <v>0</v>
      </c>
      <c r="J391" s="109">
        <f t="shared" si="32"/>
        <v>0</v>
      </c>
      <c r="K391" s="103" t="e">
        <f t="shared" si="31"/>
        <v>#REF!</v>
      </c>
    </row>
    <row r="392" spans="1:11" x14ac:dyDescent="0.2">
      <c r="A392" s="99">
        <v>4406</v>
      </c>
      <c r="B392" s="100"/>
      <c r="C392" s="101" t="s">
        <v>123</v>
      </c>
      <c r="D392" s="149"/>
      <c r="E392" s="31"/>
      <c r="F392" s="31"/>
      <c r="G392" s="31">
        <v>0</v>
      </c>
      <c r="H392" s="31">
        <v>0</v>
      </c>
      <c r="I392" s="31"/>
      <c r="J392" s="31">
        <f t="shared" si="32"/>
        <v>0</v>
      </c>
      <c r="K392" s="103" t="e">
        <f t="shared" si="31"/>
        <v>#REF!</v>
      </c>
    </row>
    <row r="393" spans="1:11" x14ac:dyDescent="0.2">
      <c r="A393" s="82"/>
      <c r="B393" s="94"/>
      <c r="C393" s="95"/>
      <c r="D393" s="145"/>
      <c r="E393" s="34"/>
      <c r="F393" s="34"/>
      <c r="G393" s="34"/>
      <c r="H393" s="34"/>
      <c r="I393" s="34"/>
      <c r="J393" s="34"/>
      <c r="K393" s="105"/>
    </row>
    <row r="394" spans="1:11" x14ac:dyDescent="0.2">
      <c r="A394" s="99">
        <v>441</v>
      </c>
      <c r="B394" s="100"/>
      <c r="C394" s="101" t="s">
        <v>125</v>
      </c>
      <c r="D394" s="149"/>
      <c r="E394" s="31">
        <f>SUM(E395:E399)</f>
        <v>0</v>
      </c>
      <c r="F394" s="31">
        <f>SUM(F395:F399)</f>
        <v>0</v>
      </c>
      <c r="G394" s="31">
        <v>0</v>
      </c>
      <c r="H394" s="31">
        <v>0</v>
      </c>
      <c r="I394" s="31">
        <f>SUM(I395:I399)</f>
        <v>0</v>
      </c>
      <c r="J394" s="31">
        <f>SUM(J395:J399)</f>
        <v>0</v>
      </c>
      <c r="K394" s="103" t="e">
        <f t="shared" ref="K394:K400" si="33">J394/J$175*100</f>
        <v>#REF!</v>
      </c>
    </row>
    <row r="395" spans="1:11" x14ac:dyDescent="0.2">
      <c r="A395" s="99">
        <v>4410</v>
      </c>
      <c r="B395" s="100"/>
      <c r="C395" s="101" t="s">
        <v>701</v>
      </c>
      <c r="D395" s="149"/>
      <c r="E395" s="31"/>
      <c r="F395" s="31"/>
      <c r="G395" s="31">
        <v>0</v>
      </c>
      <c r="H395" s="31">
        <v>0</v>
      </c>
      <c r="I395" s="31">
        <v>0</v>
      </c>
      <c r="J395" s="31">
        <f t="shared" ref="J395:J400" si="34">E395+F395+G395+H395</f>
        <v>0</v>
      </c>
      <c r="K395" s="103" t="e">
        <f t="shared" si="33"/>
        <v>#REF!</v>
      </c>
    </row>
    <row r="396" spans="1:11" x14ac:dyDescent="0.2">
      <c r="A396" s="99">
        <v>4411</v>
      </c>
      <c r="B396" s="100"/>
      <c r="C396" s="101" t="s">
        <v>703</v>
      </c>
      <c r="D396" s="149"/>
      <c r="E396" s="31"/>
      <c r="F396" s="31"/>
      <c r="G396" s="31">
        <v>0</v>
      </c>
      <c r="H396" s="31">
        <v>0</v>
      </c>
      <c r="I396" s="31">
        <v>0</v>
      </c>
      <c r="J396" s="31">
        <f t="shared" si="34"/>
        <v>0</v>
      </c>
      <c r="K396" s="103" t="e">
        <f t="shared" si="33"/>
        <v>#REF!</v>
      </c>
    </row>
    <row r="397" spans="1:11" x14ac:dyDescent="0.2">
      <c r="A397" s="99">
        <v>4412</v>
      </c>
      <c r="B397" s="100"/>
      <c r="C397" s="101" t="s">
        <v>705</v>
      </c>
      <c r="D397" s="149"/>
      <c r="E397" s="31"/>
      <c r="F397" s="31"/>
      <c r="G397" s="31">
        <v>0</v>
      </c>
      <c r="H397" s="31">
        <v>0</v>
      </c>
      <c r="I397" s="31">
        <v>0</v>
      </c>
      <c r="J397" s="31">
        <f t="shared" si="34"/>
        <v>0</v>
      </c>
      <c r="K397" s="103" t="e">
        <f t="shared" si="33"/>
        <v>#REF!</v>
      </c>
    </row>
    <row r="398" spans="1:11" x14ac:dyDescent="0.2">
      <c r="A398" s="99">
        <v>4413</v>
      </c>
      <c r="B398" s="100"/>
      <c r="C398" s="101" t="s">
        <v>707</v>
      </c>
      <c r="D398" s="149"/>
      <c r="E398" s="31"/>
      <c r="F398" s="31"/>
      <c r="G398" s="31">
        <v>0</v>
      </c>
      <c r="H398" s="31">
        <v>0</v>
      </c>
      <c r="I398" s="31">
        <v>0</v>
      </c>
      <c r="J398" s="31">
        <f t="shared" si="34"/>
        <v>0</v>
      </c>
      <c r="K398" s="103" t="e">
        <f t="shared" si="33"/>
        <v>#REF!</v>
      </c>
    </row>
    <row r="399" spans="1:11" x14ac:dyDescent="0.2">
      <c r="A399" s="99">
        <v>4414</v>
      </c>
      <c r="B399" s="100"/>
      <c r="C399" s="101" t="s">
        <v>709</v>
      </c>
      <c r="D399" s="149"/>
      <c r="E399" s="31"/>
      <c r="F399" s="31"/>
      <c r="G399" s="31">
        <v>0</v>
      </c>
      <c r="H399" s="31">
        <v>0</v>
      </c>
      <c r="I399" s="31">
        <v>0</v>
      </c>
      <c r="J399" s="31">
        <f t="shared" si="34"/>
        <v>0</v>
      </c>
      <c r="K399" s="103" t="e">
        <f t="shared" si="33"/>
        <v>#REF!</v>
      </c>
    </row>
    <row r="400" spans="1:11" x14ac:dyDescent="0.2">
      <c r="A400" s="99">
        <v>4415</v>
      </c>
      <c r="B400" s="100"/>
      <c r="C400" s="101" t="s">
        <v>835</v>
      </c>
      <c r="D400" s="149"/>
      <c r="E400" s="31"/>
      <c r="F400" s="31"/>
      <c r="G400" s="31">
        <v>0</v>
      </c>
      <c r="H400" s="31">
        <v>0</v>
      </c>
      <c r="I400" s="31">
        <v>0</v>
      </c>
      <c r="J400" s="31">
        <f t="shared" si="34"/>
        <v>0</v>
      </c>
      <c r="K400" s="103" t="e">
        <f t="shared" si="33"/>
        <v>#REF!</v>
      </c>
    </row>
    <row r="401" spans="1:11" x14ac:dyDescent="0.2">
      <c r="A401" s="82"/>
      <c r="B401" s="94"/>
      <c r="C401" s="95"/>
      <c r="D401" s="145"/>
      <c r="E401" s="34"/>
      <c r="F401" s="34"/>
      <c r="G401" s="34"/>
      <c r="H401" s="34"/>
      <c r="I401" s="34"/>
      <c r="J401" s="34"/>
      <c r="K401" s="150"/>
    </row>
    <row r="402" spans="1:11" x14ac:dyDescent="0.2">
      <c r="A402" s="99">
        <v>442</v>
      </c>
      <c r="B402" s="100"/>
      <c r="C402" s="101" t="s">
        <v>711</v>
      </c>
      <c r="D402" s="149"/>
      <c r="E402" s="31">
        <f>SUM(E403:E405)</f>
        <v>0</v>
      </c>
      <c r="F402" s="31">
        <f>F403+F404</f>
        <v>0</v>
      </c>
      <c r="G402" s="31">
        <v>0</v>
      </c>
      <c r="H402" s="31">
        <f>H403+H404</f>
        <v>0</v>
      </c>
      <c r="I402" s="31">
        <f>I403+I404</f>
        <v>0</v>
      </c>
      <c r="J402" s="31">
        <f>SUM(J403:J405)</f>
        <v>0</v>
      </c>
      <c r="K402" s="103" t="e">
        <f>J402/J$175*100</f>
        <v>#REF!</v>
      </c>
    </row>
    <row r="403" spans="1:11" x14ac:dyDescent="0.2">
      <c r="A403" s="99">
        <v>4420</v>
      </c>
      <c r="B403" s="100"/>
      <c r="C403" s="101" t="s">
        <v>713</v>
      </c>
      <c r="D403" s="149"/>
      <c r="E403" s="31"/>
      <c r="F403" s="31">
        <v>0</v>
      </c>
      <c r="G403" s="31">
        <v>0</v>
      </c>
      <c r="H403" s="31">
        <v>0</v>
      </c>
      <c r="I403" s="31">
        <v>0</v>
      </c>
      <c r="J403" s="31">
        <f>E403+F403+G403+H403</f>
        <v>0</v>
      </c>
      <c r="K403" s="103" t="e">
        <f>J403/J$175*100</f>
        <v>#REF!</v>
      </c>
    </row>
    <row r="404" spans="1:11" x14ac:dyDescent="0.2">
      <c r="A404" s="99">
        <v>4421</v>
      </c>
      <c r="B404" s="100"/>
      <c r="C404" s="101" t="s">
        <v>715</v>
      </c>
      <c r="D404" s="149"/>
      <c r="E404" s="31"/>
      <c r="F404" s="31">
        <v>0</v>
      </c>
      <c r="G404" s="31">
        <v>0</v>
      </c>
      <c r="H404" s="31">
        <v>0</v>
      </c>
      <c r="I404" s="31">
        <v>0</v>
      </c>
      <c r="J404" s="31">
        <f>E404+F404+G404+H404</f>
        <v>0</v>
      </c>
      <c r="K404" s="103" t="e">
        <f>J404/J$175*100</f>
        <v>#REF!</v>
      </c>
    </row>
    <row r="405" spans="1:11" x14ac:dyDescent="0.2">
      <c r="A405" s="99">
        <v>4422</v>
      </c>
      <c r="B405" s="100"/>
      <c r="C405" s="101" t="s">
        <v>824</v>
      </c>
      <c r="D405" s="149"/>
      <c r="E405" s="31"/>
      <c r="F405" s="31">
        <v>0</v>
      </c>
      <c r="G405" s="31">
        <v>0</v>
      </c>
      <c r="H405" s="31">
        <v>0</v>
      </c>
      <c r="I405" s="31">
        <v>0</v>
      </c>
      <c r="J405" s="31">
        <f>E405+F405+G405+H405</f>
        <v>0</v>
      </c>
      <c r="K405" s="103" t="e">
        <f>J405/J$175*100</f>
        <v>#REF!</v>
      </c>
    </row>
    <row r="406" spans="1:11" x14ac:dyDescent="0.2">
      <c r="A406" s="204"/>
      <c r="B406" s="205"/>
      <c r="C406" s="206"/>
      <c r="D406" s="424"/>
      <c r="E406" s="383"/>
      <c r="F406" s="383"/>
      <c r="G406" s="383"/>
      <c r="H406" s="383"/>
      <c r="I406" s="383"/>
      <c r="J406" s="383"/>
      <c r="K406" s="425"/>
    </row>
    <row r="407" spans="1:11" x14ac:dyDescent="0.2">
      <c r="A407" s="204">
        <v>443</v>
      </c>
      <c r="B407" s="205"/>
      <c r="C407" s="206" t="s">
        <v>878</v>
      </c>
      <c r="D407" s="424"/>
      <c r="E407" s="383">
        <f>+E408</f>
        <v>0</v>
      </c>
      <c r="F407" s="383">
        <f>+F408</f>
        <v>0</v>
      </c>
      <c r="G407" s="383">
        <f>+G408</f>
        <v>0</v>
      </c>
      <c r="H407" s="383">
        <f>+H408</f>
        <v>0</v>
      </c>
      <c r="I407" s="383">
        <f>+I408</f>
        <v>0</v>
      </c>
      <c r="J407" s="383">
        <f>+E407+F407+G407+H407+-I407</f>
        <v>0</v>
      </c>
      <c r="K407" s="425"/>
    </row>
    <row r="408" spans="1:11" x14ac:dyDescent="0.2">
      <c r="A408" s="204">
        <v>4430</v>
      </c>
      <c r="B408" s="205"/>
      <c r="C408" s="206" t="s">
        <v>879</v>
      </c>
      <c r="D408" s="424"/>
      <c r="E408" s="383"/>
      <c r="F408" s="383"/>
      <c r="G408" s="383"/>
      <c r="H408" s="383"/>
      <c r="I408" s="383"/>
      <c r="J408" s="383">
        <f>+E408+F408+G408+H408+-I408</f>
        <v>0</v>
      </c>
      <c r="K408" s="425"/>
    </row>
    <row r="409" spans="1:11" ht="15.75" thickBot="1" x14ac:dyDescent="0.25">
      <c r="A409" s="120"/>
      <c r="B409" s="121"/>
      <c r="C409" s="122"/>
      <c r="D409" s="160"/>
      <c r="E409" s="161"/>
      <c r="F409" s="161"/>
      <c r="G409" s="161"/>
      <c r="H409" s="161"/>
      <c r="I409" s="161"/>
      <c r="J409" s="161"/>
      <c r="K409" s="166"/>
    </row>
    <row r="410" spans="1:11" ht="15.75" thickTop="1" x14ac:dyDescent="0.2">
      <c r="A410" s="135"/>
      <c r="B410" s="136"/>
      <c r="C410" s="137"/>
      <c r="D410" s="163"/>
      <c r="E410" s="164"/>
      <c r="F410" s="164"/>
      <c r="G410" s="164"/>
      <c r="H410" s="164"/>
      <c r="I410" s="164"/>
      <c r="J410" s="164"/>
      <c r="K410" s="198"/>
    </row>
    <row r="411" spans="1:11" ht="15.75" x14ac:dyDescent="0.25">
      <c r="A411" s="69"/>
      <c r="B411" s="70" t="s">
        <v>717</v>
      </c>
      <c r="C411" s="77" t="s">
        <v>718</v>
      </c>
      <c r="D411" s="142"/>
      <c r="E411" s="73">
        <f t="shared" ref="E411:J411" si="35">E361-E383</f>
        <v>0</v>
      </c>
      <c r="F411" s="73">
        <f t="shared" si="35"/>
        <v>0</v>
      </c>
      <c r="G411" s="73">
        <f t="shared" si="35"/>
        <v>0</v>
      </c>
      <c r="H411" s="73">
        <f t="shared" si="35"/>
        <v>0</v>
      </c>
      <c r="I411" s="73">
        <f t="shared" si="35"/>
        <v>0</v>
      </c>
      <c r="J411" s="199">
        <f t="shared" si="35"/>
        <v>0</v>
      </c>
      <c r="K411" s="197" t="e">
        <f>J411/J$175*100</f>
        <v>#REF!</v>
      </c>
    </row>
    <row r="412" spans="1:11" ht="15.75" x14ac:dyDescent="0.25">
      <c r="A412" s="69"/>
      <c r="B412" s="70"/>
      <c r="C412" s="77" t="s">
        <v>719</v>
      </c>
      <c r="D412" s="142"/>
      <c r="E412" s="73"/>
      <c r="F412" s="73"/>
      <c r="G412" s="73"/>
      <c r="H412" s="73"/>
      <c r="I412" s="73"/>
      <c r="J412" s="175"/>
      <c r="K412" s="93"/>
    </row>
    <row r="413" spans="1:11" ht="15.75" x14ac:dyDescent="0.25">
      <c r="A413" s="88"/>
      <c r="B413" s="89"/>
      <c r="C413" s="90" t="s">
        <v>721</v>
      </c>
      <c r="D413" s="146"/>
      <c r="E413" s="32"/>
      <c r="F413" s="32"/>
      <c r="G413" s="32"/>
      <c r="H413" s="32"/>
      <c r="I413" s="32"/>
      <c r="J413" s="29"/>
      <c r="K413" s="93"/>
    </row>
    <row r="414" spans="1:11" ht="15.75" thickBot="1" x14ac:dyDescent="0.25">
      <c r="A414" s="178"/>
      <c r="B414" s="179"/>
      <c r="C414" s="180"/>
      <c r="D414" s="181"/>
      <c r="E414" s="182"/>
      <c r="F414" s="182"/>
      <c r="G414" s="182"/>
      <c r="H414" s="182"/>
      <c r="I414" s="182"/>
      <c r="J414" s="182"/>
      <c r="K414" s="200"/>
    </row>
    <row r="415" spans="1:11" ht="15.75" thickTop="1" x14ac:dyDescent="0.2">
      <c r="A415" s="53"/>
      <c r="B415" s="53"/>
      <c r="C415" s="54"/>
      <c r="D415" s="54"/>
      <c r="E415" s="51"/>
      <c r="F415" s="51"/>
      <c r="G415" s="51"/>
      <c r="H415" s="51"/>
      <c r="I415" s="51"/>
      <c r="J415" s="51"/>
      <c r="K415" s="51"/>
    </row>
    <row r="416" spans="1:11" x14ac:dyDescent="0.2">
      <c r="A416" s="53"/>
      <c r="B416" s="53"/>
      <c r="C416" s="54"/>
      <c r="D416" s="54"/>
      <c r="E416" s="51"/>
      <c r="F416" s="51"/>
      <c r="G416" s="51"/>
      <c r="H416" s="51"/>
      <c r="I416" s="51"/>
      <c r="J416" s="51"/>
      <c r="K416" s="51"/>
    </row>
    <row r="417" spans="1:11" x14ac:dyDescent="0.2">
      <c r="A417" s="53"/>
      <c r="B417" s="53"/>
      <c r="C417" s="54"/>
      <c r="D417" s="54"/>
      <c r="E417" s="51"/>
      <c r="F417" s="51"/>
      <c r="G417" s="51"/>
      <c r="H417" s="51"/>
      <c r="I417" s="51"/>
      <c r="J417" s="51"/>
      <c r="K417" s="51"/>
    </row>
    <row r="418" spans="1:11" ht="23.25" x14ac:dyDescent="0.35">
      <c r="A418" s="201"/>
      <c r="B418" s="237" t="s">
        <v>791</v>
      </c>
      <c r="C418" s="239" t="s">
        <v>792</v>
      </c>
      <c r="D418" s="262" t="s">
        <v>844</v>
      </c>
      <c r="E418" s="238"/>
      <c r="F418" s="263"/>
      <c r="G418" s="263"/>
      <c r="H418" s="263"/>
      <c r="I418" s="9"/>
      <c r="J418" s="9"/>
      <c r="K418" s="9"/>
    </row>
    <row r="419" spans="1:11" x14ac:dyDescent="0.2">
      <c r="A419" s="53"/>
      <c r="B419" s="53"/>
      <c r="C419" s="54"/>
      <c r="D419" s="54"/>
      <c r="E419" s="51"/>
      <c r="F419" s="51"/>
      <c r="G419" s="51"/>
      <c r="H419" s="51"/>
      <c r="I419" s="51"/>
      <c r="J419" s="51"/>
      <c r="K419" s="51"/>
    </row>
    <row r="420" spans="1:11" ht="16.5" thickBot="1" x14ac:dyDescent="0.3">
      <c r="A420" s="305"/>
      <c r="B420" s="305"/>
      <c r="C420" s="346"/>
      <c r="D420" s="346"/>
      <c r="E420" s="241"/>
      <c r="F420" s="241"/>
      <c r="G420" s="241"/>
      <c r="H420" s="241"/>
      <c r="I420" s="55" t="s">
        <v>208</v>
      </c>
      <c r="J420" s="55"/>
      <c r="K420" s="241"/>
    </row>
    <row r="421" spans="1:11" ht="16.5" thickTop="1" x14ac:dyDescent="0.25">
      <c r="A421" s="306"/>
      <c r="B421" s="317"/>
      <c r="C421" s="347"/>
      <c r="D421" s="373"/>
      <c r="E421" s="334"/>
      <c r="F421" s="335"/>
      <c r="G421" s="335"/>
      <c r="H421" s="335"/>
      <c r="I421" s="335"/>
      <c r="J421" s="339"/>
      <c r="K421" s="276"/>
    </row>
    <row r="422" spans="1:11" ht="20.25" x14ac:dyDescent="0.3">
      <c r="A422" s="307"/>
      <c r="B422" s="242"/>
      <c r="C422" s="345"/>
      <c r="D422" s="374"/>
      <c r="E422" s="336"/>
      <c r="F422" s="337"/>
      <c r="G422" s="337"/>
      <c r="H422" s="337"/>
      <c r="I422" s="337"/>
      <c r="J422" s="340"/>
      <c r="K422" s="277" t="s">
        <v>209</v>
      </c>
    </row>
    <row r="423" spans="1:11" ht="15.75" x14ac:dyDescent="0.25">
      <c r="A423" s="307"/>
      <c r="B423" s="242"/>
      <c r="C423" s="345"/>
      <c r="D423" s="374"/>
      <c r="E423" s="278"/>
      <c r="F423" s="279"/>
      <c r="G423" s="280"/>
      <c r="H423" s="281"/>
      <c r="I423" s="282" t="s">
        <v>210</v>
      </c>
      <c r="J423" s="282" t="s">
        <v>211</v>
      </c>
      <c r="K423" s="277" t="s">
        <v>212</v>
      </c>
    </row>
    <row r="424" spans="1:11" ht="15.75" x14ac:dyDescent="0.25">
      <c r="A424" s="329" t="s">
        <v>213</v>
      </c>
      <c r="B424" s="242"/>
      <c r="C424" s="345"/>
      <c r="D424" s="374"/>
      <c r="E424" s="283" t="s">
        <v>214</v>
      </c>
      <c r="F424" s="284" t="s">
        <v>215</v>
      </c>
      <c r="G424" s="288" t="s">
        <v>216</v>
      </c>
      <c r="H424" s="289" t="s">
        <v>217</v>
      </c>
      <c r="I424" s="285" t="s">
        <v>218</v>
      </c>
      <c r="J424" s="285" t="s">
        <v>219</v>
      </c>
      <c r="K424" s="277" t="s">
        <v>220</v>
      </c>
    </row>
    <row r="425" spans="1:11" ht="15.75" x14ac:dyDescent="0.25">
      <c r="A425" s="307"/>
      <c r="B425" s="242"/>
      <c r="C425" s="345"/>
      <c r="D425" s="374"/>
      <c r="E425" s="283" t="s">
        <v>221</v>
      </c>
      <c r="F425" s="284" t="s">
        <v>222</v>
      </c>
      <c r="G425" s="288"/>
      <c r="H425" s="289"/>
      <c r="I425" s="294" t="s">
        <v>223</v>
      </c>
      <c r="J425" s="285" t="s">
        <v>224</v>
      </c>
      <c r="K425" s="277" t="s">
        <v>225</v>
      </c>
    </row>
    <row r="426" spans="1:11" ht="16.5" thickBot="1" x14ac:dyDescent="0.3">
      <c r="A426" s="308"/>
      <c r="B426" s="243"/>
      <c r="C426" s="346"/>
      <c r="D426" s="375"/>
      <c r="E426" s="290"/>
      <c r="F426" s="291"/>
      <c r="G426" s="292"/>
      <c r="H426" s="293"/>
      <c r="I426" s="295" t="s">
        <v>226</v>
      </c>
      <c r="J426" s="286"/>
      <c r="K426" s="287" t="s">
        <v>228</v>
      </c>
    </row>
    <row r="427" spans="1:11" ht="15.75" thickTop="1" x14ac:dyDescent="0.2">
      <c r="A427" s="57"/>
      <c r="B427" s="58"/>
      <c r="C427" s="59"/>
      <c r="D427" s="60"/>
      <c r="E427" s="260" t="s">
        <v>229</v>
      </c>
      <c r="F427" s="260" t="s">
        <v>230</v>
      </c>
      <c r="G427" s="260" t="s">
        <v>231</v>
      </c>
      <c r="H427" s="260" t="s">
        <v>232</v>
      </c>
      <c r="I427" s="260" t="s">
        <v>233</v>
      </c>
      <c r="J427" s="260" t="s">
        <v>234</v>
      </c>
      <c r="K427" s="272"/>
    </row>
    <row r="428" spans="1:11" ht="15.75" x14ac:dyDescent="0.25">
      <c r="A428" s="69"/>
      <c r="B428" s="70" t="s">
        <v>830</v>
      </c>
      <c r="C428" s="77" t="s">
        <v>730</v>
      </c>
      <c r="D428" s="142"/>
      <c r="E428" s="73">
        <f>+E430+E439</f>
        <v>0</v>
      </c>
      <c r="F428" s="73">
        <f>F430+F439</f>
        <v>0</v>
      </c>
      <c r="G428" s="73">
        <f>G430+G439</f>
        <v>0</v>
      </c>
      <c r="H428" s="73">
        <f>H430+H439</f>
        <v>0</v>
      </c>
      <c r="I428" s="73">
        <v>0</v>
      </c>
      <c r="J428" s="199">
        <f>E428+F428+G428+H428</f>
        <v>0</v>
      </c>
      <c r="K428" s="197" t="e">
        <f>J428/J$175*100</f>
        <v>#REF!</v>
      </c>
    </row>
    <row r="429" spans="1:11" x14ac:dyDescent="0.2">
      <c r="A429" s="82"/>
      <c r="B429" s="94"/>
      <c r="C429" s="95"/>
      <c r="D429" s="145"/>
      <c r="E429" s="34"/>
      <c r="F429" s="34"/>
      <c r="G429" s="34"/>
      <c r="H429" s="34"/>
      <c r="I429" s="34"/>
      <c r="J429" s="34"/>
      <c r="K429" s="105"/>
    </row>
    <row r="430" spans="1:11" x14ac:dyDescent="0.2">
      <c r="A430" s="99">
        <v>500</v>
      </c>
      <c r="B430" s="100"/>
      <c r="C430" s="101" t="s">
        <v>732</v>
      </c>
      <c r="D430" s="149"/>
      <c r="E430" s="259">
        <f>+E432+E433+E434+E435+E437</f>
        <v>0</v>
      </c>
      <c r="F430" s="259">
        <f>+F432+F433+F434+F435+F437</f>
        <v>0</v>
      </c>
      <c r="G430" s="259">
        <f>+G432+G433+G434+G435+G437</f>
        <v>0</v>
      </c>
      <c r="H430" s="259">
        <f>+H432+H433+H434+H435+H437</f>
        <v>0</v>
      </c>
      <c r="I430" s="259">
        <f>+I432+I433+I434+I435+I437</f>
        <v>0</v>
      </c>
      <c r="J430" s="259">
        <f>+E430+F430+G430+H430-I430</f>
        <v>0</v>
      </c>
      <c r="K430" s="103"/>
    </row>
    <row r="431" spans="1:11" x14ac:dyDescent="0.2">
      <c r="A431" s="82"/>
      <c r="B431" s="94"/>
      <c r="C431" s="95"/>
      <c r="D431" s="145"/>
      <c r="E431" s="203"/>
      <c r="F431" s="34"/>
      <c r="G431" s="34"/>
      <c r="H431" s="34"/>
      <c r="I431" s="34"/>
      <c r="J431" s="203"/>
      <c r="K431" s="105"/>
    </row>
    <row r="432" spans="1:11" x14ac:dyDescent="0.2">
      <c r="A432" s="99">
        <v>5000</v>
      </c>
      <c r="B432" s="100"/>
      <c r="C432" s="101" t="s">
        <v>734</v>
      </c>
      <c r="D432" s="149"/>
      <c r="E432" s="202"/>
      <c r="F432" s="202"/>
      <c r="G432" s="202"/>
      <c r="H432" s="202"/>
      <c r="I432" s="202"/>
      <c r="J432" s="202"/>
      <c r="K432" s="103"/>
    </row>
    <row r="433" spans="1:11" x14ac:dyDescent="0.2">
      <c r="A433" s="99">
        <v>5001</v>
      </c>
      <c r="B433" s="100"/>
      <c r="C433" s="101" t="s">
        <v>736</v>
      </c>
      <c r="D433" s="149"/>
      <c r="E433" s="202"/>
      <c r="F433" s="202"/>
      <c r="G433" s="202"/>
      <c r="H433" s="202"/>
      <c r="I433" s="202"/>
      <c r="J433" s="202"/>
      <c r="K433" s="103"/>
    </row>
    <row r="434" spans="1:11" x14ac:dyDescent="0.2">
      <c r="A434" s="99">
        <v>5002</v>
      </c>
      <c r="B434" s="100"/>
      <c r="C434" s="101" t="s">
        <v>738</v>
      </c>
      <c r="D434" s="149"/>
      <c r="E434" s="202"/>
      <c r="F434" s="202"/>
      <c r="G434" s="202"/>
      <c r="H434" s="202"/>
      <c r="I434" s="202"/>
      <c r="J434" s="202"/>
      <c r="K434" s="103"/>
    </row>
    <row r="435" spans="1:11" x14ac:dyDescent="0.2">
      <c r="A435" s="99">
        <v>5003</v>
      </c>
      <c r="B435" s="100"/>
      <c r="C435" s="101" t="s">
        <v>740</v>
      </c>
      <c r="D435" s="149"/>
      <c r="E435" s="202"/>
      <c r="F435" s="202"/>
      <c r="G435" s="202"/>
      <c r="H435" s="202"/>
      <c r="I435" s="202"/>
      <c r="J435" s="202"/>
      <c r="K435" s="103"/>
    </row>
    <row r="436" spans="1:11" x14ac:dyDescent="0.2">
      <c r="A436" s="106">
        <v>500301</v>
      </c>
      <c r="B436" s="107"/>
      <c r="C436" s="108" t="s">
        <v>742</v>
      </c>
      <c r="D436" s="149"/>
      <c r="E436" s="202"/>
      <c r="F436" s="202"/>
      <c r="G436" s="202"/>
      <c r="H436" s="202"/>
      <c r="I436" s="202"/>
      <c r="J436" s="202"/>
      <c r="K436" s="103"/>
    </row>
    <row r="437" spans="1:11" x14ac:dyDescent="0.2">
      <c r="A437" s="99">
        <v>5004</v>
      </c>
      <c r="B437" s="100"/>
      <c r="C437" s="101" t="s">
        <v>744</v>
      </c>
      <c r="D437" s="149"/>
      <c r="E437" s="202"/>
      <c r="F437" s="202"/>
      <c r="G437" s="202"/>
      <c r="H437" s="202"/>
      <c r="I437" s="202"/>
      <c r="J437" s="202"/>
      <c r="K437" s="103"/>
    </row>
    <row r="438" spans="1:11" x14ac:dyDescent="0.2">
      <c r="A438" s="82"/>
      <c r="B438" s="94"/>
      <c r="C438" s="95"/>
      <c r="D438" s="145"/>
      <c r="E438" s="203"/>
      <c r="F438" s="34"/>
      <c r="G438" s="34"/>
      <c r="H438" s="34"/>
      <c r="I438" s="34"/>
      <c r="J438" s="203"/>
      <c r="K438" s="105"/>
    </row>
    <row r="439" spans="1:11" x14ac:dyDescent="0.2">
      <c r="A439" s="99">
        <v>501</v>
      </c>
      <c r="B439" s="100"/>
      <c r="C439" s="101" t="s">
        <v>746</v>
      </c>
      <c r="D439" s="149"/>
      <c r="E439" s="259">
        <f>+E441+E442+E443+E444+E445</f>
        <v>0</v>
      </c>
      <c r="F439" s="259">
        <f>+F441+F442+F443+F444+F445</f>
        <v>0</v>
      </c>
      <c r="G439" s="259">
        <f>+G441+G442+G443+G444+G445</f>
        <v>0</v>
      </c>
      <c r="H439" s="259">
        <f>+H441+H442+H443+H444+H445</f>
        <v>0</v>
      </c>
      <c r="I439" s="259">
        <f>+I441+I442+I443+I444+I445</f>
        <v>0</v>
      </c>
      <c r="J439" s="259">
        <f>+E439+F439+G439+H439-I439</f>
        <v>0</v>
      </c>
      <c r="K439" s="103"/>
    </row>
    <row r="440" spans="1:11" x14ac:dyDescent="0.2">
      <c r="A440" s="82"/>
      <c r="B440" s="94"/>
      <c r="C440" s="95"/>
      <c r="D440" s="145"/>
      <c r="E440" s="86"/>
      <c r="F440" s="34"/>
      <c r="G440" s="34"/>
      <c r="H440" s="34"/>
      <c r="I440" s="34"/>
      <c r="J440" s="34"/>
      <c r="K440" s="105"/>
    </row>
    <row r="441" spans="1:11" x14ac:dyDescent="0.2">
      <c r="A441" s="99">
        <v>5010</v>
      </c>
      <c r="B441" s="100"/>
      <c r="C441" s="101" t="s">
        <v>748</v>
      </c>
      <c r="D441" s="149"/>
      <c r="E441" s="202"/>
      <c r="F441" s="202"/>
      <c r="G441" s="202"/>
      <c r="H441" s="202"/>
      <c r="I441" s="202"/>
      <c r="J441" s="202"/>
      <c r="K441" s="103"/>
    </row>
    <row r="442" spans="1:11" x14ac:dyDescent="0.2">
      <c r="A442" s="99">
        <v>5011</v>
      </c>
      <c r="B442" s="100"/>
      <c r="C442" s="101" t="s">
        <v>750</v>
      </c>
      <c r="D442" s="149"/>
      <c r="E442" s="202"/>
      <c r="F442" s="202"/>
      <c r="G442" s="202"/>
      <c r="H442" s="202"/>
      <c r="I442" s="202"/>
      <c r="J442" s="202"/>
      <c r="K442" s="103"/>
    </row>
    <row r="443" spans="1:11" x14ac:dyDescent="0.2">
      <c r="A443" s="99">
        <v>5012</v>
      </c>
      <c r="B443" s="100"/>
      <c r="C443" s="101" t="s">
        <v>752</v>
      </c>
      <c r="D443" s="149"/>
      <c r="E443" s="202"/>
      <c r="F443" s="202"/>
      <c r="G443" s="202"/>
      <c r="H443" s="202"/>
      <c r="I443" s="202"/>
      <c r="J443" s="202"/>
      <c r="K443" s="103"/>
    </row>
    <row r="444" spans="1:11" x14ac:dyDescent="0.2">
      <c r="A444" s="99">
        <v>5013</v>
      </c>
      <c r="B444" s="100"/>
      <c r="C444" s="101" t="s">
        <v>754</v>
      </c>
      <c r="D444" s="149"/>
      <c r="E444" s="202"/>
      <c r="F444" s="202"/>
      <c r="G444" s="202"/>
      <c r="H444" s="202"/>
      <c r="I444" s="202"/>
      <c r="J444" s="202"/>
      <c r="K444" s="103"/>
    </row>
    <row r="445" spans="1:11" x14ac:dyDescent="0.2">
      <c r="A445" s="99">
        <v>5014</v>
      </c>
      <c r="B445" s="100"/>
      <c r="C445" s="101" t="s">
        <v>744</v>
      </c>
      <c r="D445" s="149"/>
      <c r="E445" s="202"/>
      <c r="F445" s="202"/>
      <c r="G445" s="202"/>
      <c r="H445" s="202"/>
      <c r="I445" s="202"/>
      <c r="J445" s="202"/>
      <c r="K445" s="103"/>
    </row>
    <row r="446" spans="1:11" ht="15.75" thickBot="1" x14ac:dyDescent="0.25">
      <c r="A446" s="207"/>
      <c r="B446" s="208"/>
      <c r="C446" s="209"/>
      <c r="D446" s="160"/>
      <c r="E446" s="161"/>
      <c r="F446" s="161"/>
      <c r="G446" s="161"/>
      <c r="H446" s="161"/>
      <c r="I446" s="161"/>
      <c r="J446" s="161"/>
      <c r="K446" s="166"/>
    </row>
    <row r="447" spans="1:11" ht="15.75" thickTop="1" x14ac:dyDescent="0.2">
      <c r="A447" s="135"/>
      <c r="B447" s="136"/>
      <c r="C447" s="137"/>
      <c r="D447" s="163"/>
      <c r="E447" s="164"/>
      <c r="F447" s="164"/>
      <c r="G447" s="164"/>
      <c r="H447" s="164"/>
      <c r="I447" s="66"/>
      <c r="J447" s="164"/>
      <c r="K447" s="198"/>
    </row>
    <row r="448" spans="1:11" ht="15.75" x14ac:dyDescent="0.25">
      <c r="A448" s="69"/>
      <c r="B448" s="70" t="s">
        <v>757</v>
      </c>
      <c r="C448" s="77" t="s">
        <v>758</v>
      </c>
      <c r="D448" s="142"/>
      <c r="E448" s="73">
        <f t="shared" ref="E448:J448" si="36">E450+E460</f>
        <v>0</v>
      </c>
      <c r="F448" s="73">
        <f t="shared" si="36"/>
        <v>0</v>
      </c>
      <c r="G448" s="73">
        <f t="shared" si="36"/>
        <v>0</v>
      </c>
      <c r="H448" s="73">
        <f t="shared" si="36"/>
        <v>0</v>
      </c>
      <c r="I448" s="73">
        <f t="shared" si="36"/>
        <v>0</v>
      </c>
      <c r="J448" s="199">
        <f t="shared" si="36"/>
        <v>0</v>
      </c>
      <c r="K448" s="197" t="e">
        <f>J448/J$175*100</f>
        <v>#REF!</v>
      </c>
    </row>
    <row r="449" spans="1:11" x14ac:dyDescent="0.2">
      <c r="A449" s="82"/>
      <c r="B449" s="94"/>
      <c r="C449" s="95"/>
      <c r="D449" s="145"/>
      <c r="E449" s="34"/>
      <c r="F449" s="34"/>
      <c r="G449" s="34"/>
      <c r="H449" s="34"/>
      <c r="I449" s="34"/>
      <c r="J449" s="34"/>
      <c r="K449" s="105"/>
    </row>
    <row r="450" spans="1:11" x14ac:dyDescent="0.2">
      <c r="A450" s="99">
        <v>550</v>
      </c>
      <c r="B450" s="100"/>
      <c r="C450" s="101" t="s">
        <v>760</v>
      </c>
      <c r="D450" s="149"/>
      <c r="E450" s="31">
        <f>+E452+E453+E454+E455+E457+E458</f>
        <v>0</v>
      </c>
      <c r="F450" s="31">
        <f>+F452+F453+F454+F455+F457+F458</f>
        <v>0</v>
      </c>
      <c r="G450" s="31">
        <f>+G452+G453+G454+G455+G457+G458</f>
        <v>0</v>
      </c>
      <c r="H450" s="31">
        <f>+H452+H453+H454+H455+H457+H458</f>
        <v>0</v>
      </c>
      <c r="I450" s="31">
        <f>+I452+I453+I454+I455+I457+I458</f>
        <v>0</v>
      </c>
      <c r="J450" s="31">
        <f>E450+F450+G450+H450-I450</f>
        <v>0</v>
      </c>
      <c r="K450" s="103" t="e">
        <f>J450/J$175*100</f>
        <v>#REF!</v>
      </c>
    </row>
    <row r="451" spans="1:11" x14ac:dyDescent="0.2">
      <c r="A451" s="82"/>
      <c r="B451" s="94"/>
      <c r="C451" s="95"/>
      <c r="D451" s="145"/>
      <c r="E451" s="34"/>
      <c r="F451" s="34"/>
      <c r="G451" s="34"/>
      <c r="H451" s="34"/>
      <c r="I451" s="34"/>
      <c r="J451" s="34"/>
      <c r="K451" s="150"/>
    </row>
    <row r="452" spans="1:11" x14ac:dyDescent="0.2">
      <c r="A452" s="99">
        <v>5500</v>
      </c>
      <c r="B452" s="100"/>
      <c r="C452" s="101" t="s">
        <v>762</v>
      </c>
      <c r="D452" s="149"/>
      <c r="E452" s="31"/>
      <c r="F452" s="31"/>
      <c r="G452" s="31">
        <v>0</v>
      </c>
      <c r="H452" s="31">
        <v>0</v>
      </c>
      <c r="I452" s="31">
        <v>0</v>
      </c>
      <c r="J452" s="31">
        <f>E452+F452+G452+H452</f>
        <v>0</v>
      </c>
      <c r="K452" s="103" t="e">
        <f>J452/J$175*100</f>
        <v>#REF!</v>
      </c>
    </row>
    <row r="453" spans="1:11" x14ac:dyDescent="0.2">
      <c r="A453" s="99">
        <v>5501</v>
      </c>
      <c r="B453" s="100"/>
      <c r="C453" s="101" t="s">
        <v>764</v>
      </c>
      <c r="D453" s="149"/>
      <c r="E453" s="31"/>
      <c r="F453" s="31"/>
      <c r="G453" s="31"/>
      <c r="H453" s="31">
        <v>0</v>
      </c>
      <c r="I453" s="31">
        <v>0</v>
      </c>
      <c r="J453" s="31">
        <f>E453+F453+G453+H453</f>
        <v>0</v>
      </c>
      <c r="K453" s="103" t="e">
        <f>J453/J$175*100</f>
        <v>#REF!</v>
      </c>
    </row>
    <row r="454" spans="1:11" x14ac:dyDescent="0.2">
      <c r="A454" s="99">
        <v>5502</v>
      </c>
      <c r="B454" s="100"/>
      <c r="C454" s="101" t="s">
        <v>766</v>
      </c>
      <c r="D454" s="149"/>
      <c r="E454" s="31"/>
      <c r="F454" s="31"/>
      <c r="G454" s="31">
        <v>0</v>
      </c>
      <c r="H454" s="31">
        <v>0</v>
      </c>
      <c r="I454" s="31">
        <v>0</v>
      </c>
      <c r="J454" s="31">
        <f>E454+F454+G454+H454</f>
        <v>0</v>
      </c>
      <c r="K454" s="103" t="e">
        <f>J454/J$175*100</f>
        <v>#REF!</v>
      </c>
    </row>
    <row r="455" spans="1:11" x14ac:dyDescent="0.2">
      <c r="A455" s="99">
        <v>5503</v>
      </c>
      <c r="B455" s="100"/>
      <c r="C455" s="101" t="s">
        <v>772</v>
      </c>
      <c r="D455" s="149"/>
      <c r="E455" s="31"/>
      <c r="F455" s="31"/>
      <c r="G455" s="31">
        <v>0</v>
      </c>
      <c r="H455" s="31">
        <v>0</v>
      </c>
      <c r="I455" s="31">
        <v>0</v>
      </c>
      <c r="J455" s="31">
        <f>E455+F455+G455+H455</f>
        <v>0</v>
      </c>
      <c r="K455" s="103" t="e">
        <f>J455/J$175*100</f>
        <v>#REF!</v>
      </c>
    </row>
    <row r="456" spans="1:11" x14ac:dyDescent="0.2">
      <c r="A456" s="210"/>
      <c r="B456" s="107"/>
      <c r="C456" s="154" t="s">
        <v>831</v>
      </c>
      <c r="D456" s="153"/>
      <c r="E456" s="109">
        <v>0</v>
      </c>
      <c r="F456" s="109">
        <v>0</v>
      </c>
      <c r="G456" s="109">
        <v>0</v>
      </c>
      <c r="H456" s="109">
        <v>0</v>
      </c>
      <c r="I456" s="109"/>
      <c r="J456" s="109">
        <v>0</v>
      </c>
      <c r="K456" s="103"/>
    </row>
    <row r="457" spans="1:11" x14ac:dyDescent="0.2">
      <c r="A457" s="106">
        <v>5505</v>
      </c>
      <c r="B457" s="107"/>
      <c r="C457" s="108" t="s">
        <v>802</v>
      </c>
      <c r="D457" s="153"/>
      <c r="E457" s="109">
        <f>H369</f>
        <v>0</v>
      </c>
      <c r="F457" s="109">
        <v>0</v>
      </c>
      <c r="G457" s="109">
        <v>0</v>
      </c>
      <c r="H457" s="109">
        <v>0</v>
      </c>
      <c r="I457" s="109">
        <f>+E457</f>
        <v>0</v>
      </c>
      <c r="J457" s="109">
        <f>E457+F457+G457+H457-I457</f>
        <v>0</v>
      </c>
      <c r="K457" s="103"/>
    </row>
    <row r="458" spans="1:11" x14ac:dyDescent="0.2">
      <c r="A458" s="99">
        <v>5504</v>
      </c>
      <c r="B458" s="100"/>
      <c r="C458" s="101" t="s">
        <v>775</v>
      </c>
      <c r="D458" s="149"/>
      <c r="E458" s="31"/>
      <c r="F458" s="31"/>
      <c r="G458" s="31">
        <v>0</v>
      </c>
      <c r="H458" s="31">
        <v>0</v>
      </c>
      <c r="I458" s="31">
        <v>0</v>
      </c>
      <c r="J458" s="31">
        <f>E458+F458+G458+H458</f>
        <v>0</v>
      </c>
      <c r="K458" s="103" t="e">
        <f>J458/J$175*100</f>
        <v>#REF!</v>
      </c>
    </row>
    <row r="459" spans="1:11" x14ac:dyDescent="0.2">
      <c r="A459" s="82"/>
      <c r="B459" s="94"/>
      <c r="C459" s="95"/>
      <c r="D459" s="145"/>
      <c r="E459" s="34"/>
      <c r="F459" s="34"/>
      <c r="G459" s="34"/>
      <c r="H459" s="34"/>
      <c r="I459" s="34"/>
      <c r="J459" s="34"/>
      <c r="K459" s="105"/>
    </row>
    <row r="460" spans="1:11" x14ac:dyDescent="0.2">
      <c r="A460" s="99">
        <v>551</v>
      </c>
      <c r="B460" s="100"/>
      <c r="C460" s="101" t="s">
        <v>777</v>
      </c>
      <c r="D460" s="149"/>
      <c r="E460" s="31">
        <f>SUM(E462:E466)</f>
        <v>0</v>
      </c>
      <c r="F460" s="31">
        <f>SUM(F462:F466)</f>
        <v>0</v>
      </c>
      <c r="G460" s="31">
        <f>SUM(G462:G466)</f>
        <v>0</v>
      </c>
      <c r="H460" s="31">
        <f>SUM(H462:H466)</f>
        <v>0</v>
      </c>
      <c r="I460" s="31">
        <f>SUM(I462:I465)</f>
        <v>0</v>
      </c>
      <c r="J460" s="31">
        <f>E460+F460+G460+H460</f>
        <v>0</v>
      </c>
      <c r="K460" s="103" t="e">
        <f>J460/J$175*100</f>
        <v>#REF!</v>
      </c>
    </row>
    <row r="461" spans="1:11" x14ac:dyDescent="0.2">
      <c r="A461" s="82"/>
      <c r="B461" s="94"/>
      <c r="C461" s="95"/>
      <c r="D461" s="145"/>
      <c r="E461" s="34"/>
      <c r="F461" s="34"/>
      <c r="G461" s="34"/>
      <c r="H461" s="34"/>
      <c r="I461" s="34"/>
      <c r="J461" s="34"/>
      <c r="K461" s="150"/>
    </row>
    <row r="462" spans="1:11" x14ac:dyDescent="0.2">
      <c r="A462" s="99">
        <v>5510</v>
      </c>
      <c r="B462" s="100"/>
      <c r="C462" s="101" t="s">
        <v>779</v>
      </c>
      <c r="D462" s="149"/>
      <c r="E462" s="31"/>
      <c r="F462" s="31">
        <v>0</v>
      </c>
      <c r="G462" s="31">
        <v>0</v>
      </c>
      <c r="H462" s="31">
        <v>0</v>
      </c>
      <c r="I462" s="31">
        <v>0</v>
      </c>
      <c r="J462" s="31">
        <f>E462+F462+G462+H462</f>
        <v>0</v>
      </c>
      <c r="K462" s="103" t="e">
        <f>J462/J$175*100</f>
        <v>#REF!</v>
      </c>
    </row>
    <row r="463" spans="1:11" x14ac:dyDescent="0.2">
      <c r="A463" s="99">
        <v>5511</v>
      </c>
      <c r="B463" s="100"/>
      <c r="C463" s="101" t="s">
        <v>781</v>
      </c>
      <c r="D463" s="149"/>
      <c r="E463" s="31"/>
      <c r="F463" s="31">
        <v>0</v>
      </c>
      <c r="G463" s="31">
        <v>0</v>
      </c>
      <c r="H463" s="31">
        <v>0</v>
      </c>
      <c r="I463" s="31">
        <v>0</v>
      </c>
      <c r="J463" s="31">
        <f>E463+F463+G463+H463</f>
        <v>0</v>
      </c>
      <c r="K463" s="103" t="e">
        <f>J463/J$175*100</f>
        <v>#REF!</v>
      </c>
    </row>
    <row r="464" spans="1:11" x14ac:dyDescent="0.2">
      <c r="A464" s="99">
        <v>5512</v>
      </c>
      <c r="B464" s="100"/>
      <c r="C464" s="101" t="s">
        <v>783</v>
      </c>
      <c r="D464" s="149"/>
      <c r="E464" s="31"/>
      <c r="F464" s="31">
        <v>0</v>
      </c>
      <c r="G464" s="31">
        <v>0</v>
      </c>
      <c r="H464" s="31">
        <v>0</v>
      </c>
      <c r="I464" s="31">
        <v>0</v>
      </c>
      <c r="J464" s="31">
        <f>E464+F464+G464+H464</f>
        <v>0</v>
      </c>
      <c r="K464" s="103" t="e">
        <f>J464/J$175*100</f>
        <v>#REF!</v>
      </c>
    </row>
    <row r="465" spans="1:11" x14ac:dyDescent="0.2">
      <c r="A465" s="99">
        <v>5513</v>
      </c>
      <c r="B465" s="100"/>
      <c r="C465" s="101" t="s">
        <v>785</v>
      </c>
      <c r="D465" s="149"/>
      <c r="E465" s="31"/>
      <c r="F465" s="31">
        <v>0</v>
      </c>
      <c r="G465" s="31">
        <v>0</v>
      </c>
      <c r="H465" s="31">
        <v>0</v>
      </c>
      <c r="I465" s="31">
        <v>0</v>
      </c>
      <c r="J465" s="31">
        <f>E465+F465+G465+H465</f>
        <v>0</v>
      </c>
      <c r="K465" s="103" t="e">
        <f>J465/J$175*100</f>
        <v>#REF!</v>
      </c>
    </row>
    <row r="466" spans="1:11" x14ac:dyDescent="0.2">
      <c r="A466" s="99">
        <v>5514</v>
      </c>
      <c r="B466" s="100"/>
      <c r="C466" s="101" t="s">
        <v>836</v>
      </c>
      <c r="D466" s="149"/>
      <c r="E466" s="31"/>
      <c r="F466" s="31">
        <v>0</v>
      </c>
      <c r="G466" s="31">
        <v>0</v>
      </c>
      <c r="H466" s="31">
        <v>0</v>
      </c>
      <c r="I466" s="31">
        <v>0</v>
      </c>
      <c r="J466" s="31">
        <f>E466+F466+G466+H466</f>
        <v>0</v>
      </c>
      <c r="K466" s="103" t="e">
        <f>J466/J$175*100</f>
        <v>#REF!</v>
      </c>
    </row>
    <row r="467" spans="1:11" ht="15.75" thickBot="1" x14ac:dyDescent="0.25">
      <c r="A467" s="120"/>
      <c r="B467" s="121"/>
      <c r="C467" s="122"/>
      <c r="D467" s="160"/>
      <c r="E467" s="161"/>
      <c r="F467" s="161"/>
      <c r="G467" s="161"/>
      <c r="H467" s="161"/>
      <c r="I467" s="161"/>
      <c r="J467" s="161"/>
      <c r="K467" s="162"/>
    </row>
    <row r="468" spans="1:11" ht="16.5" thickTop="1" x14ac:dyDescent="0.25">
      <c r="A468" s="211"/>
      <c r="B468" s="212" t="s">
        <v>803</v>
      </c>
      <c r="C468" s="213" t="s">
        <v>789</v>
      </c>
      <c r="D468" s="214"/>
      <c r="E468" s="215"/>
      <c r="F468" s="215"/>
      <c r="G468" s="215"/>
      <c r="H468" s="215"/>
      <c r="I468" s="215"/>
      <c r="J468" s="215"/>
      <c r="K468" s="216"/>
    </row>
    <row r="469" spans="1:11" ht="16.5" thickBot="1" x14ac:dyDescent="0.3">
      <c r="A469" s="217"/>
      <c r="B469" s="218"/>
      <c r="C469" s="219" t="s">
        <v>804</v>
      </c>
      <c r="D469" s="220"/>
      <c r="E469" s="221">
        <f t="shared" ref="E469:J469" si="37">E22+E361+E428-E178-E383-E448</f>
        <v>0</v>
      </c>
      <c r="F469" s="221">
        <f t="shared" si="37"/>
        <v>0</v>
      </c>
      <c r="G469" s="221">
        <f t="shared" si="37"/>
        <v>0</v>
      </c>
      <c r="H469" s="221">
        <f t="shared" si="37"/>
        <v>0</v>
      </c>
      <c r="I469" s="221">
        <f t="shared" si="37"/>
        <v>0</v>
      </c>
      <c r="J469" s="222">
        <f t="shared" si="37"/>
        <v>0</v>
      </c>
      <c r="K469" s="223" t="e">
        <f>J469/J$175*100</f>
        <v>#REF!</v>
      </c>
    </row>
    <row r="470" spans="1:11" ht="16.5" thickTop="1" x14ac:dyDescent="0.25">
      <c r="A470" s="211"/>
      <c r="B470" s="212"/>
      <c r="C470" s="213"/>
      <c r="D470" s="214"/>
      <c r="E470" s="215"/>
      <c r="F470" s="215"/>
      <c r="G470" s="215"/>
      <c r="H470" s="215"/>
      <c r="I470" s="215"/>
      <c r="J470" s="224"/>
      <c r="K470" s="225"/>
    </row>
    <row r="471" spans="1:11" ht="16.5" thickBot="1" x14ac:dyDescent="0.3">
      <c r="A471" s="226"/>
      <c r="B471" s="227" t="s">
        <v>787</v>
      </c>
      <c r="C471" s="228" t="s">
        <v>805</v>
      </c>
      <c r="D471" s="229"/>
      <c r="E471" s="230">
        <f t="shared" ref="E471:J471" si="38">E411+E428-E448-E469</f>
        <v>0</v>
      </c>
      <c r="F471" s="230">
        <f t="shared" si="38"/>
        <v>0</v>
      </c>
      <c r="G471" s="230">
        <f t="shared" si="38"/>
        <v>0</v>
      </c>
      <c r="H471" s="230">
        <f t="shared" si="38"/>
        <v>0</v>
      </c>
      <c r="I471" s="230">
        <f t="shared" si="38"/>
        <v>0</v>
      </c>
      <c r="J471" s="231">
        <f t="shared" si="38"/>
        <v>0</v>
      </c>
      <c r="K471" s="232" t="e">
        <f>J471/J$175*100</f>
        <v>#REF!</v>
      </c>
    </row>
    <row r="472" spans="1:11" ht="15.75" thickTop="1" x14ac:dyDescent="0.2">
      <c r="A472" s="53"/>
      <c r="B472" s="53"/>
      <c r="C472" s="54"/>
      <c r="D472" s="54"/>
      <c r="E472" s="51"/>
      <c r="F472" s="51"/>
      <c r="G472" s="51"/>
      <c r="H472" s="51"/>
      <c r="I472" s="51"/>
      <c r="J472" s="51"/>
      <c r="K472" s="5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SPR PRO 1999</vt:lpstr>
      <vt:lpstr>SPR PRO 2000</vt:lpstr>
      <vt:lpstr>SPR PRO 2001</vt:lpstr>
      <vt:lpstr>SPR SPREM 03</vt:lpstr>
      <vt:lpstr>SPR PRO 04</vt:lpstr>
      <vt:lpstr>VIŠJI 2004</vt:lpstr>
      <vt:lpstr>VIŠJI 2005</vt:lpstr>
      <vt:lpstr>VIŠJI 2006</vt:lpstr>
      <vt:lpstr>NIŽJI 2006</vt:lpstr>
      <vt:lpstr>VIŠJI 2007</vt:lpstr>
      <vt:lpstr>NIŽJI 2007</vt:lpstr>
      <vt:lpstr>GLOBALNA</vt:lpstr>
      <vt:lpstr>GLOBALNA!Print_Area</vt:lpstr>
      <vt:lpstr>GLOBALNA!Print_Titles</vt:lpstr>
      <vt:lpstr>'SPR SPREM 03'!Print_Titles</vt:lpstr>
      <vt:lpstr>'VIŠJI 2004'!Print_Titles</vt:lpstr>
      <vt:lpstr>'VIŠJI 2005'!Print_Titles</vt:lpstr>
      <vt:lpstr>'VIŠJI 2006'!Print_Titles</vt:lpstr>
      <vt:lpstr>'VIŠJI 2007'!Print_Titles</vt:lpstr>
    </vt:vector>
  </TitlesOfParts>
  <Company>MFRS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MF15006</dc:creator>
  <cp:lastModifiedBy>Maja Založnik</cp:lastModifiedBy>
  <cp:lastPrinted>2007-04-24T06:53:21Z</cp:lastPrinted>
  <dcterms:created xsi:type="dcterms:W3CDTF">2001-04-25T11:29:29Z</dcterms:created>
  <dcterms:modified xsi:type="dcterms:W3CDTF">2023-02-10T10:50:41Z</dcterms:modified>
</cp:coreProperties>
</file>