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ycle_estimation" sheetId="1" state="visible" r:id="rId2"/>
    <sheet name="Results" sheetId="2" state="visible" r:id="rId3"/>
    <sheet name="Tex_table_comparison" sheetId="3" state="visible" r:id="rId4"/>
    <sheet name="TEX_compare_all_HP_designs" sheetId="4" state="visible" r:id="rId5"/>
    <sheet name="Tex_table_KEM_HP_Intel" sheetId="5" state="visible" r:id="rId6"/>
    <sheet name="Tex_table_PKE_HP_Intel" sheetId="6" state="visible" r:id="rId7"/>
    <sheet name="Cycle_estimation_with_XEf" sheetId="7" state="visible" r:id="rId8"/>
    <sheet name="CycleEstimationSummary" sheetId="8" state="visible" r:id="rId9"/>
    <sheet name="Cycle_estimation_al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<sst xmlns="http://schemas.openxmlformats.org/spreadsheetml/2006/main" count="1626" uniqueCount="169">
  <si>
    <t xml:space="preserve">Parameter set:</t>
  </si>
  <si>
    <t xml:space="preserve">PolyDeg:</t>
  </si>
  <si>
    <t xml:space="preserve">q</t>
  </si>
  <si>
    <t xml:space="preserve">p</t>
  </si>
  <si>
    <t xml:space="preserve">t</t>
  </si>
  <si>
    <t xml:space="preserve">pk_size</t>
  </si>
  <si>
    <t xml:space="preserve">sk_size</t>
  </si>
  <si>
    <t xml:space="preserve">ct_size</t>
  </si>
  <si>
    <t xml:space="preserve">cb_size</t>
  </si>
  <si>
    <t xml:space="preserve">kappa_by</t>
  </si>
  <si>
    <t xml:space="preserve">1KEM_0d</t>
  </si>
  <si>
    <t xml:space="preserve">3KEM_0d</t>
  </si>
  <si>
    <t xml:space="preserve">5KEM_0d</t>
  </si>
  <si>
    <t xml:space="preserve">1PKE_0d</t>
  </si>
  <si>
    <t xml:space="preserve">3PKE_0d</t>
  </si>
  <si>
    <t xml:space="preserve">5PKE_0d</t>
  </si>
  <si>
    <t xml:space="preserve">Cycles:</t>
  </si>
  <si>
    <t xml:space="preserve">LoadA</t>
  </si>
  <si>
    <t xml:space="preserve">LoadB</t>
  </si>
  <si>
    <t xml:space="preserve">LoadR</t>
  </si>
  <si>
    <t xml:space="preserve">LoadCTV</t>
  </si>
  <si>
    <t xml:space="preserve">LoadMSG</t>
  </si>
  <si>
    <t xml:space="preserve">LoadSk</t>
  </si>
  <si>
    <t xml:space="preserve">LoadRHO</t>
  </si>
  <si>
    <t xml:space="preserve">Encryption</t>
  </si>
  <si>
    <t xml:space="preserve">Decryption</t>
  </si>
  <si>
    <t xml:space="preserve">LATENCY:</t>
  </si>
  <si>
    <t xml:space="preserve">KEM:</t>
  </si>
  <si>
    <t xml:space="preserve">Encaps</t>
  </si>
  <si>
    <t xml:space="preserve">Decaps</t>
  </si>
  <si>
    <t xml:space="preserve">CPA-KEM</t>
  </si>
  <si>
    <t xml:space="preserve">Encaps:</t>
  </si>
  <si>
    <t xml:space="preserve">Total:</t>
  </si>
  <si>
    <t xml:space="preserve">send sigma</t>
  </si>
  <si>
    <t xml:space="preserve">Gen_A</t>
  </si>
  <si>
    <t xml:space="preserve">SendB</t>
  </si>
  <si>
    <t xml:space="preserve">send msg</t>
  </si>
  <si>
    <t xml:space="preserve">send rho</t>
  </si>
  <si>
    <t xml:space="preserve">Gen R</t>
  </si>
  <si>
    <t xml:space="preserve">MoveA</t>
  </si>
  <si>
    <t xml:space="preserve">PKE:</t>
  </si>
  <si>
    <t xml:space="preserve">Enc:</t>
  </si>
  <si>
    <t xml:space="preserve">Dec:</t>
  </si>
  <si>
    <t xml:space="preserve">CCA-PKE</t>
  </si>
  <si>
    <t xml:space="preserve">Move R</t>
  </si>
  <si>
    <t xml:space="preserve">Encrypt</t>
  </si>
  <si>
    <t xml:space="preserve">MoveCT</t>
  </si>
  <si>
    <t xml:space="preserve">Hash</t>
  </si>
  <si>
    <t xml:space="preserve">SendBack</t>
  </si>
  <si>
    <t xml:space="preserve">Decaps:</t>
  </si>
  <si>
    <t xml:space="preserve">send sk</t>
  </si>
  <si>
    <t xml:space="preserve">GenB</t>
  </si>
  <si>
    <t xml:space="preserve">Send Ct</t>
  </si>
  <si>
    <t xml:space="preserve">MoveB</t>
  </si>
  <si>
    <t xml:space="preserve">Total</t>
  </si>
  <si>
    <t xml:space="preserve">Decrypt</t>
  </si>
  <si>
    <t xml:space="preserve">MoveM</t>
  </si>
  <si>
    <t xml:space="preserve">ReadRes</t>
  </si>
  <si>
    <t xml:space="preserve">MovePK</t>
  </si>
  <si>
    <t xml:space="preserve">Hahs</t>
  </si>
  <si>
    <t xml:space="preserve">GenA</t>
  </si>
  <si>
    <t xml:space="preserve">GenR</t>
  </si>
  <si>
    <t xml:space="preserve">MoveR</t>
  </si>
  <si>
    <t xml:space="preserve">Res</t>
  </si>
  <si>
    <t xml:space="preserve">AES</t>
  </si>
  <si>
    <t xml:space="preserve">read res</t>
  </si>
  <si>
    <t xml:space="preserve">send ct</t>
  </si>
  <si>
    <t xml:space="preserve">decrypt</t>
  </si>
  <si>
    <t xml:space="preserve">move to hash</t>
  </si>
  <si>
    <t xml:space="preserve">hash</t>
  </si>
  <si>
    <t xml:space="preserve">load pk</t>
  </si>
  <si>
    <t xml:space="preserve">move = </t>
  </si>
  <si>
    <t xml:space="preserve">encrypt</t>
  </si>
  <si>
    <t xml:space="preserve">aes</t>
  </si>
  <si>
    <t xml:space="preserve">read</t>
  </si>
  <si>
    <t xml:space="preserve">1KEM_5d</t>
  </si>
  <si>
    <t xml:space="preserve">3KEM_5d</t>
  </si>
  <si>
    <t xml:space="preserve">5KEM_5d</t>
  </si>
  <si>
    <t xml:space="preserve">1PKE_5d</t>
  </si>
  <si>
    <t xml:space="preserve">3PKE_5d</t>
  </si>
  <si>
    <t xml:space="preserve">5PKE_5d</t>
  </si>
  <si>
    <t xml:space="preserve">Intel</t>
  </si>
  <si>
    <t xml:space="preserve">Parameters set:</t>
  </si>
  <si>
    <t xml:space="preserve">ALM</t>
  </si>
  <si>
    <t xml:space="preserve">RAM bits</t>
  </si>
  <si>
    <t xml:space="preserve">RAM blocks</t>
  </si>
  <si>
    <t xml:space="preserve">Registers</t>
  </si>
  <si>
    <t xml:space="preserve">Max. clk (100C)</t>
  </si>
  <si>
    <t xml:space="preserve">Max clk (-40)</t>
  </si>
  <si>
    <t xml:space="preserve">Arria 10 AX115</t>
  </si>
  <si>
    <t xml:space="preserve">Parameter set</t>
  </si>
  <si>
    <t xml:space="preserve">&amp;</t>
  </si>
  <si>
    <t xml:space="preserve">Ratio</t>
  </si>
  <si>
    <t xml:space="preserve">Poly degree*</t>
  </si>
  <si>
    <t xml:space="preserve">}\\</t>
  </si>
  <si>
    <t xml:space="preserve">PK size$^*$</t>
  </si>
  <si>
    <t xml:space="preserve">SK size$^*$</t>
  </si>
  <si>
    <t xml:space="preserve">CT size$^*$</t>
  </si>
  <si>
    <t xml:space="preserve">Enc latency$^{**}$</t>
  </si>
  <si>
    <t xml:space="preserve">Dec latency$^{**}$</t>
  </si>
  <si>
    <t xml:space="preserve">Xilinx LUT’s</t>
  </si>
  <si>
    <t xml:space="preserve">Xilinx Slices</t>
  </si>
  <si>
    <t xml:space="preserve">Xilinx BRAM’s</t>
  </si>
  <si>
    <t xml:space="preserve">Xilinx Max. freq (MHz)</t>
  </si>
  <si>
    <t xml:space="preserve">Enc time</t>
  </si>
  <si>
    <t xml:space="preserve">Dec time</t>
  </si>
  <si>
    <t xml:space="preserve">Intel ALM’s</t>
  </si>
  <si>
    <t xml:space="preserve">Intel Registers</t>
  </si>
  <si>
    <t xml:space="preserve">Intel BRAM’s</t>
  </si>
  <si>
    <t xml:space="preserve">Intel Max. freq (MHz)</t>
  </si>
  <si>
    <t xml:space="preserve">LUT’s</t>
  </si>
  <si>
    <t xml:space="preserve">Slices</t>
  </si>
  <si>
    <t xml:space="preserve">BRAM’s</t>
  </si>
  <si>
    <t xml:space="preserve">Max. freq</t>
  </si>
  <si>
    <t xml:space="preserve">\\</t>
  </si>
  <si>
    <t xml:space="preserve">}&amp;</t>
  </si>
  <si>
    <t xml:space="preserve">\textcolor{OliveGreen}{</t>
  </si>
  <si>
    <t xml:space="preserve">Max. freq (MHz)</t>
  </si>
  <si>
    <t xml:space="preserve">\textcolor{red}{</t>
  </si>
  <si>
    <t xml:space="preserve">\textcolor{OliveGreen}{+</t>
  </si>
  <si>
    <t xml:space="preserve">\hline</t>
  </si>
  <si>
    <t xml:space="preserve">Xef_shortest</t>
  </si>
  <si>
    <t xml:space="preserve">Xef_size</t>
  </si>
  <si>
    <t xml:space="preserve">LoadXEf</t>
  </si>
  <si>
    <t xml:space="preserve">Send Xef</t>
  </si>
  <si>
    <t xml:space="preserve">Xef copute</t>
  </si>
  <si>
    <t xml:space="preserve">Xef_send_back</t>
  </si>
  <si>
    <t xml:space="preserve">Send Ct+XEf</t>
  </si>
  <si>
    <t xml:space="preserve">Xef_co fix</t>
  </si>
  <si>
    <t xml:space="preserve">KEM</t>
  </si>
  <si>
    <t xml:space="preserve">PKE</t>
  </si>
  <si>
    <t xml:space="preserve">CPA</t>
  </si>
  <si>
    <t xml:space="preserve">CCA</t>
  </si>
  <si>
    <t xml:space="preserve">0d</t>
  </si>
  <si>
    <t xml:space="preserve">5d</t>
  </si>
  <si>
    <t xml:space="preserve">Sec.lvl</t>
  </si>
  <si>
    <t xml:space="preserve">Load PK</t>
  </si>
  <si>
    <t xml:space="preserve">LoadRnd*</t>
  </si>
  <si>
    <t xml:space="preserve">ENC</t>
  </si>
  <si>
    <t xml:space="preserve">OutCT</t>
  </si>
  <si>
    <t xml:space="preserve">OutK</t>
  </si>
  <si>
    <t xml:space="preserve">Load SK</t>
  </si>
  <si>
    <t xml:space="preserve">DEC</t>
  </si>
  <si>
    <t xml:space="preserve">CPA ENCAPS:</t>
  </si>
  <si>
    <t xml:space="preserve">SendMsg</t>
  </si>
  <si>
    <t xml:space="preserve">SendRho</t>
  </si>
  <si>
    <t xml:space="preserve">SendXef</t>
  </si>
  <si>
    <t xml:space="preserve">XefCompute</t>
  </si>
  <si>
    <t xml:space="preserve">Xef_Sedn</t>
  </si>
  <si>
    <t xml:space="preserve">MoveCt</t>
  </si>
  <si>
    <t xml:space="preserve">TOTAL:</t>
  </si>
  <si>
    <t xml:space="preserve">CPA DECAPS:</t>
  </si>
  <si>
    <t xml:space="preserve">Send SK</t>
  </si>
  <si>
    <t xml:space="preserve">XefFix</t>
  </si>
  <si>
    <t xml:space="preserve">CCA ENCAPS:</t>
  </si>
  <si>
    <t xml:space="preserve">GenL_G_R</t>
  </si>
  <si>
    <t xml:space="preserve">LoadPK</t>
  </si>
  <si>
    <t xml:space="preserve">CCA DECAPS:</t>
  </si>
  <si>
    <t xml:space="preserve">CCA Encrypt</t>
  </si>
  <si>
    <t xml:space="preserve">Xef_comp</t>
  </si>
  <si>
    <t xml:space="preserve">CCA Dec</t>
  </si>
  <si>
    <t xml:space="preserve">SendSK</t>
  </si>
  <si>
    <t xml:space="preserve">SendMSg</t>
  </si>
  <si>
    <t xml:space="preserve">Xef_fix</t>
  </si>
  <si>
    <t xml:space="preserve">Mov2Hash</t>
  </si>
  <si>
    <t xml:space="preserve">INCLUDED IN SK!</t>
  </si>
  <si>
    <t xml:space="preserve">Move</t>
  </si>
  <si>
    <t xml:space="preserve">Aes</t>
  </si>
  <si>
    <t xml:space="preserve">Read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</si>
</sst>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#,###.00"/>
    <numFmt numFmtId="168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E7E6E6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../" TargetMode="External"/><Relationship Id="rId2" Type="http://schemas.openxmlformats.org/officeDocument/2006/relationships/hyperlink" Target="../../../../../../" TargetMode="External"/><Relationship Id="rId3" Type="http://schemas.openxmlformats.org/officeDocument/2006/relationships/hyperlink" Target="../../../../../..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S90:S101 A11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10" min="2" style="0" width="8.57"/>
    <col collapsed="false" customWidth="true" hidden="false" outlineLevel="0" max="11" min="11" style="0" width="12.28"/>
    <col collapsed="false" customWidth="true" hidden="false" outlineLevel="0" max="12" min="12" style="0" width="10.14"/>
    <col collapsed="false" customWidth="true" hidden="false" outlineLevel="0" max="1025" min="13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5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5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5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5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5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K10" s="2" t="s">
        <v>24</v>
      </c>
      <c r="L10" s="2" t="s">
        <v>25</v>
      </c>
    </row>
    <row r="11" customFormat="false" ht="15" hidden="false" customHeight="false" outlineLevel="0" collapsed="false">
      <c r="A11" s="0" t="str">
        <f aca="false">A2</f>
        <v>1KEM_0d</v>
      </c>
      <c r="B11" s="0" t="n">
        <f aca="false">_xlfn.CEILING.MATH(B2*C2/64)</f>
        <v>107</v>
      </c>
      <c r="C11" s="0" t="n">
        <f aca="false">_xlfn.CEILING.MATH(B2*D2/64)</f>
        <v>78</v>
      </c>
      <c r="D11" s="0" t="n">
        <f aca="false">_xlfn.CEILING.MATH(B2*2/64)</f>
        <v>20</v>
      </c>
      <c r="E11" s="0" t="n">
        <f aca="false">_xlfn.CEILING.MATH(E2*J2*8/64)</f>
        <v>8</v>
      </c>
      <c r="F11" s="0" t="n">
        <f aca="false">_xlfn.CEILING.MATH(J2*8/64)</f>
        <v>2</v>
      </c>
      <c r="G11" s="0" t="n">
        <f aca="false">_xlfn.CEILING.MATH(G2*8/64)</f>
        <v>2</v>
      </c>
      <c r="H11" s="0" t="n">
        <f aca="false">_xlfn.CEILING.MATH(J2*8/64)</f>
        <v>2</v>
      </c>
      <c r="K11" s="0" t="n">
        <f aca="false">4*B2+10</f>
        <v>2482</v>
      </c>
      <c r="L11" s="0" t="n">
        <f aca="false">2*B2+7</f>
        <v>1243</v>
      </c>
    </row>
    <row r="12" customFormat="false" ht="15" hidden="false" customHeight="false" outlineLevel="0" collapsed="false">
      <c r="A12" s="0" t="str">
        <f aca="false">A3</f>
        <v>3KEM_0d</v>
      </c>
      <c r="B12" s="0" t="n">
        <f aca="false">_xlfn.CEILING.MATH(B3*C3/64)</f>
        <v>160</v>
      </c>
      <c r="C12" s="0" t="n">
        <f aca="false">_xlfn.CEILING.MATH(B3*D3/64)</f>
        <v>111</v>
      </c>
      <c r="D12" s="0" t="n">
        <f aca="false">_xlfn.CEILING.MATH(B3*2/64)</f>
        <v>25</v>
      </c>
      <c r="E12" s="0" t="n">
        <f aca="false">_xlfn.CEILING.MATH(E3*J3*8/64)</f>
        <v>12</v>
      </c>
      <c r="F12" s="0" t="n">
        <f aca="false">_xlfn.CEILING.MATH(J3*8/64)</f>
        <v>3</v>
      </c>
      <c r="G12" s="0" t="n">
        <f aca="false">_xlfn.CEILING.MATH(G3*8/64)</f>
        <v>3</v>
      </c>
      <c r="H12" s="0" t="n">
        <f aca="false">_xlfn.CEILING.MATH(J3*8/64)</f>
        <v>3</v>
      </c>
      <c r="K12" s="0" t="n">
        <f aca="false">4*B3+10</f>
        <v>3154</v>
      </c>
      <c r="L12" s="0" t="n">
        <f aca="false">2*B3+7</f>
        <v>1579</v>
      </c>
    </row>
    <row r="13" customFormat="false" ht="15" hidden="false" customHeight="false" outlineLevel="0" collapsed="false">
      <c r="A13" s="0" t="str">
        <f aca="false">A4</f>
        <v>5KEM_0d</v>
      </c>
      <c r="B13" s="0" t="n">
        <f aca="false">_xlfn.CEILING.MATH(B4*C4/64)</f>
        <v>223</v>
      </c>
      <c r="C13" s="0" t="n">
        <f aca="false">_xlfn.CEILING.MATH(B4*D4/64)</f>
        <v>144</v>
      </c>
      <c r="D13" s="0" t="n">
        <f aca="false">_xlfn.CEILING.MATH(B4*2/64)</f>
        <v>32</v>
      </c>
      <c r="E13" s="0" t="n">
        <f aca="false">_xlfn.CEILING.MATH(E4*J4*8/64)</f>
        <v>16</v>
      </c>
      <c r="F13" s="0" t="n">
        <f aca="false">_xlfn.CEILING.MATH(J4*8/64)</f>
        <v>4</v>
      </c>
      <c r="G13" s="0" t="n">
        <f aca="false">_xlfn.CEILING.MATH(G4*8/64)</f>
        <v>4</v>
      </c>
      <c r="H13" s="0" t="n">
        <f aca="false">_xlfn.CEILING.MATH(J4*8/64)</f>
        <v>4</v>
      </c>
      <c r="K13" s="0" t="n">
        <f aca="false">4*B4+10</f>
        <v>4082</v>
      </c>
      <c r="L13" s="0" t="n">
        <f aca="false">2*B4+7</f>
        <v>2043</v>
      </c>
    </row>
    <row r="14" customFormat="false" ht="15" hidden="false" customHeight="false" outlineLevel="0" collapsed="false">
      <c r="A14" s="0" t="str">
        <f aca="false">A5</f>
        <v>1PKE_0d</v>
      </c>
      <c r="B14" s="0" t="n">
        <f aca="false">_xlfn.CEILING.MATH(B5*C5/64)</f>
        <v>120</v>
      </c>
      <c r="C14" s="0" t="n">
        <f aca="false">_xlfn.CEILING.MATH(B5*D5/64)</f>
        <v>83</v>
      </c>
      <c r="D14" s="0" t="n">
        <f aca="false">_xlfn.CEILING.MATH(B5*2/64)</f>
        <v>19</v>
      </c>
      <c r="E14" s="0" t="n">
        <f aca="false">_xlfn.CEILING.MATH(E5*J5*8/64)</f>
        <v>8</v>
      </c>
      <c r="F14" s="0" t="n">
        <f aca="false">_xlfn.CEILING.MATH(J5*8/64)</f>
        <v>2</v>
      </c>
      <c r="G14" s="0" t="n">
        <f aca="false">_xlfn.CEILING.MATH(G5*8/64)</f>
        <v>89</v>
      </c>
      <c r="H14" s="0" t="n">
        <f aca="false">_xlfn.CEILING.MATH(J5*8/64)</f>
        <v>2</v>
      </c>
      <c r="K14" s="0" t="n">
        <f aca="false">4*B5+10</f>
        <v>2354</v>
      </c>
      <c r="L14" s="0" t="n">
        <f aca="false">2*B5+7</f>
        <v>1179</v>
      </c>
    </row>
    <row r="15" customFormat="false" ht="15" hidden="false" customHeight="false" outlineLevel="0" collapsed="false">
      <c r="A15" s="0" t="str">
        <f aca="false">A6</f>
        <v>3PKE_0d</v>
      </c>
      <c r="B15" s="0" t="n">
        <f aca="false">_xlfn.CEILING.MATH(B6*C6/64)</f>
        <v>160</v>
      </c>
      <c r="C15" s="0" t="n">
        <f aca="false">_xlfn.CEILING.MATH(B6*D6/64)</f>
        <v>120</v>
      </c>
      <c r="D15" s="0" t="n">
        <f aca="false">_xlfn.CEILING.MATH(B6*2/64)</f>
        <v>27</v>
      </c>
      <c r="E15" s="0" t="n">
        <f aca="false">_xlfn.CEILING.MATH(E6*J6*8/64)</f>
        <v>15</v>
      </c>
      <c r="F15" s="0" t="n">
        <f aca="false">_xlfn.CEILING.MATH(J6*8/64)</f>
        <v>3</v>
      </c>
      <c r="G15" s="0" t="n">
        <f aca="false">_xlfn.CEILING.MATH(G6*8/64)</f>
        <v>129</v>
      </c>
      <c r="H15" s="0" t="n">
        <f aca="false">_xlfn.CEILING.MATH(J6*8/64)</f>
        <v>3</v>
      </c>
      <c r="K15" s="0" t="n">
        <f aca="false">4*B6+10</f>
        <v>3418</v>
      </c>
      <c r="L15" s="0" t="n">
        <f aca="false">2*B6+7</f>
        <v>1711</v>
      </c>
    </row>
    <row r="16" customFormat="false" ht="15" hidden="false" customHeight="false" outlineLevel="0" collapsed="false">
      <c r="A16" s="0" t="str">
        <f aca="false">A7</f>
        <v>5PKE_0d</v>
      </c>
      <c r="B16" s="0" t="n">
        <f aca="false">_xlfn.CEILING.MATH(B7*C7/64)</f>
        <v>238</v>
      </c>
      <c r="C16" s="0" t="n">
        <f aca="false">_xlfn.CEILING.MATH(B7*D7/64)</f>
        <v>165</v>
      </c>
      <c r="D16" s="0" t="n">
        <f aca="false">_xlfn.CEILING.MATH(B7*2/64)</f>
        <v>37</v>
      </c>
      <c r="E16" s="0" t="n">
        <f aca="false">_xlfn.CEILING.MATH(E7*J7*8/64)</f>
        <v>20</v>
      </c>
      <c r="F16" s="0" t="n">
        <f aca="false">_xlfn.CEILING.MATH(J7*8/64)</f>
        <v>4</v>
      </c>
      <c r="G16" s="0" t="n">
        <f aca="false">_xlfn.CEILING.MATH(G7*8/64)</f>
        <v>177</v>
      </c>
      <c r="H16" s="0" t="n">
        <f aca="false">_xlfn.CEILING.MATH(J7*8/64)</f>
        <v>4</v>
      </c>
      <c r="K16" s="0" t="n">
        <f aca="false">4*B7+10</f>
        <v>4690</v>
      </c>
      <c r="L16" s="0" t="n">
        <f aca="false">2*B7+7</f>
        <v>2347</v>
      </c>
    </row>
    <row r="18" customFormat="false" ht="15" hidden="false" customHeight="false" outlineLevel="0" collapsed="false">
      <c r="A18" s="3" t="s">
        <v>26</v>
      </c>
    </row>
    <row r="19" customFormat="false" ht="15" hidden="false" customHeight="false" outlineLevel="0" collapsed="false">
      <c r="A19" s="4" t="s">
        <v>27</v>
      </c>
      <c r="B19" s="4" t="s">
        <v>28</v>
      </c>
      <c r="C19" s="4" t="s">
        <v>29</v>
      </c>
      <c r="D19" s="4" t="s">
        <v>30</v>
      </c>
      <c r="H19" s="0" t="s">
        <v>31</v>
      </c>
    </row>
    <row r="20" customFormat="false" ht="15" hidden="false" customHeight="false" outlineLevel="0" collapsed="false">
      <c r="A20" s="0" t="str">
        <f aca="false">A11</f>
        <v>1KEM_0d</v>
      </c>
      <c r="B20" s="0" t="n">
        <f aca="false">T29</f>
        <v>2985</v>
      </c>
      <c r="C20" s="0" t="n">
        <f aca="false">P40</f>
        <v>1480</v>
      </c>
      <c r="T20" s="0" t="s">
        <v>32</v>
      </c>
    </row>
    <row r="21" customFormat="false" ht="15" hidden="false" customHeight="false" outlineLevel="0" collapsed="false">
      <c r="A21" s="0" t="str">
        <f aca="false">A12</f>
        <v>3KEM_0d</v>
      </c>
      <c r="B21" s="0" t="n">
        <f aca="false">T30</f>
        <v>3862</v>
      </c>
      <c r="C21" s="0" t="n">
        <f aca="false">P41</f>
        <v>1901</v>
      </c>
      <c r="H21" s="0" t="s">
        <v>33</v>
      </c>
    </row>
    <row r="22" customFormat="false" ht="15" hidden="false" customHeight="false" outlineLevel="0" collapsed="false">
      <c r="A22" s="0" t="str">
        <f aca="false">A13</f>
        <v>5KEM_0d</v>
      </c>
      <c r="B22" s="0" t="n">
        <f aca="false">T31</f>
        <v>5031</v>
      </c>
      <c r="C22" s="0" t="n">
        <f aca="false">P42</f>
        <v>2450</v>
      </c>
      <c r="H22" s="0" t="n">
        <f aca="false">H11</f>
        <v>2</v>
      </c>
      <c r="I22" s="0" t="s">
        <v>34</v>
      </c>
      <c r="J22" s="5" t="s">
        <v>35</v>
      </c>
      <c r="K22" s="5" t="s">
        <v>36</v>
      </c>
      <c r="L22" s="5" t="s">
        <v>37</v>
      </c>
    </row>
    <row r="23" customFormat="false" ht="15" hidden="false" customHeight="false" outlineLevel="0" collapsed="false">
      <c r="H23" s="0" t="n">
        <f aca="false">H12</f>
        <v>3</v>
      </c>
      <c r="I23" s="0" t="n">
        <f aca="false">_xlfn.CEILING.MATH(B2*C2/1088)*24</f>
        <v>168</v>
      </c>
      <c r="J23" s="0" t="n">
        <f aca="false">C11</f>
        <v>78</v>
      </c>
      <c r="K23" s="0" t="n">
        <f aca="false">F11</f>
        <v>2</v>
      </c>
      <c r="L23" s="0" t="n">
        <f aca="false">H11</f>
        <v>2</v>
      </c>
      <c r="M23" s="0" t="s">
        <v>38</v>
      </c>
      <c r="N23" s="0" t="s">
        <v>39</v>
      </c>
    </row>
    <row r="24" customFormat="false" ht="15" hidden="false" customHeight="false" outlineLevel="0" collapsed="false">
      <c r="A24" s="4" t="s">
        <v>40</v>
      </c>
      <c r="B24" s="4" t="s">
        <v>41</v>
      </c>
      <c r="C24" s="4" t="s">
        <v>42</v>
      </c>
      <c r="D24" s="4" t="s">
        <v>43</v>
      </c>
      <c r="H24" s="0" t="n">
        <f aca="false">H13</f>
        <v>4</v>
      </c>
      <c r="I24" s="0" t="n">
        <f aca="false">_xlfn.CEILING.MATH(B3*C3/1088)*24</f>
        <v>240</v>
      </c>
      <c r="J24" s="0" t="n">
        <f aca="false">C12</f>
        <v>111</v>
      </c>
      <c r="K24" s="0" t="n">
        <f aca="false">F12</f>
        <v>3</v>
      </c>
      <c r="L24" s="0" t="n">
        <f aca="false">H12</f>
        <v>3</v>
      </c>
      <c r="M24" s="0" t="n">
        <f aca="false">_xlfn.CEILING.MATH(B2*2/1088)*24</f>
        <v>48</v>
      </c>
      <c r="N24" s="0" t="n">
        <f aca="false">_xlfn.CEILING.MATH(B2*C2/64)</f>
        <v>107</v>
      </c>
      <c r="O24" s="0" t="s">
        <v>44</v>
      </c>
    </row>
    <row r="25" customFormat="false" ht="15" hidden="false" customHeight="false" outlineLevel="0" collapsed="false">
      <c r="A25" s="0" t="str">
        <f aca="false">A14</f>
        <v>1PKE_0d</v>
      </c>
      <c r="B25" s="0" t="n">
        <f aca="false">T55</f>
        <v>2990</v>
      </c>
      <c r="C25" s="0" t="n">
        <f aca="false">U70</f>
        <v>4063</v>
      </c>
      <c r="I25" s="0" t="n">
        <f aca="false">_xlfn.CEILING.MATH(B4*C4/1088)*24</f>
        <v>336</v>
      </c>
      <c r="J25" s="0" t="n">
        <f aca="false">C13</f>
        <v>144</v>
      </c>
      <c r="K25" s="0" t="n">
        <f aca="false">F13</f>
        <v>4</v>
      </c>
      <c r="L25" s="0" t="n">
        <f aca="false">H13</f>
        <v>4</v>
      </c>
      <c r="M25" s="0" t="n">
        <f aca="false">_xlfn.CEILING.MATH(B3*2/1088)*24</f>
        <v>48</v>
      </c>
      <c r="N25" s="0" t="n">
        <f aca="false">_xlfn.CEILING.MATH(B3*C3/64)</f>
        <v>160</v>
      </c>
      <c r="O25" s="0" t="n">
        <f aca="false">_xlfn.CEILING.MATH(B2*2/64)</f>
        <v>20</v>
      </c>
      <c r="P25" s="0" t="s">
        <v>45</v>
      </c>
    </row>
    <row r="26" customFormat="false" ht="15" hidden="false" customHeight="false" outlineLevel="0" collapsed="false">
      <c r="A26" s="0" t="str">
        <f aca="false">A15</f>
        <v>3PKE_0d</v>
      </c>
      <c r="B26" s="0" t="n">
        <f aca="false">T56</f>
        <v>4248</v>
      </c>
      <c r="C26" s="0" t="n">
        <f aca="false">U71</f>
        <v>5839</v>
      </c>
      <c r="M26" s="0" t="n">
        <f aca="false">_xlfn.CEILING.MATH(B4*2/1088)*24</f>
        <v>48</v>
      </c>
      <c r="N26" s="0" t="n">
        <f aca="false">_xlfn.CEILING.MATH(B4*C4/64)</f>
        <v>223</v>
      </c>
      <c r="O26" s="0" t="n">
        <f aca="false">_xlfn.CEILING.MATH(B3*2/64)</f>
        <v>25</v>
      </c>
      <c r="P26" s="0" t="n">
        <f aca="false">K11</f>
        <v>2482</v>
      </c>
      <c r="Q26" s="0" t="s">
        <v>46</v>
      </c>
    </row>
    <row r="27" customFormat="false" ht="15" hidden="false" customHeight="false" outlineLevel="0" collapsed="false">
      <c r="A27" s="0" t="str">
        <f aca="false">A16</f>
        <v>5PKE_0d</v>
      </c>
      <c r="B27" s="0" t="n">
        <f aca="false">T57</f>
        <v>5836</v>
      </c>
      <c r="C27" s="0" t="n">
        <f aca="false">U72</f>
        <v>7999</v>
      </c>
      <c r="O27" s="0" t="n">
        <f aca="false">_xlfn.CEILING.MATH(B4*2/64)</f>
        <v>32</v>
      </c>
      <c r="P27" s="0" t="n">
        <f aca="false">K12</f>
        <v>3154</v>
      </c>
      <c r="Q27" s="0" t="n">
        <f aca="false">_xlfn.CEILING.MATH(H2*8/64)</f>
        <v>86</v>
      </c>
      <c r="R27" s="0" t="s">
        <v>47</v>
      </c>
    </row>
    <row r="28" customFormat="false" ht="15" hidden="false" customHeight="false" outlineLevel="0" collapsed="false">
      <c r="P28" s="0" t="n">
        <f aca="false">K13</f>
        <v>4082</v>
      </c>
      <c r="Q28" s="0" t="n">
        <f aca="false">_xlfn.CEILING.MATH(H3*8/64)</f>
        <v>123</v>
      </c>
      <c r="R28" s="0" t="n">
        <v>24</v>
      </c>
      <c r="S28" s="0" t="s">
        <v>48</v>
      </c>
    </row>
    <row r="29" customFormat="false" ht="15" hidden="false" customHeight="false" outlineLevel="0" collapsed="false">
      <c r="Q29" s="0" t="n">
        <f aca="false">_xlfn.CEILING.MATH(H4*8/64)</f>
        <v>160</v>
      </c>
      <c r="R29" s="0" t="n">
        <v>24</v>
      </c>
      <c r="S29" s="0" t="n">
        <f aca="false">Q27+2</f>
        <v>88</v>
      </c>
      <c r="T29" s="0" t="n">
        <f aca="false">S29+R28+Q27+P26+O25+N24+I23+H22+8</f>
        <v>2985</v>
      </c>
    </row>
    <row r="30" customFormat="false" ht="15" hidden="false" customHeight="false" outlineLevel="0" collapsed="false">
      <c r="R30" s="0" t="n">
        <v>24</v>
      </c>
      <c r="S30" s="0" t="n">
        <f aca="false">Q28+2</f>
        <v>125</v>
      </c>
      <c r="T30" s="0" t="n">
        <f aca="false">S30+R29+Q28+P27+O26+N25+I24+H23+8</f>
        <v>3862</v>
      </c>
    </row>
    <row r="31" customFormat="false" ht="15" hidden="false" customHeight="false" outlineLevel="0" collapsed="false">
      <c r="S31" s="0" t="n">
        <f aca="false">Q29+2</f>
        <v>162</v>
      </c>
      <c r="T31" s="0" t="n">
        <f aca="false">S31+R30+Q29+P28+O27+N26+I25+H24+8</f>
        <v>5031</v>
      </c>
    </row>
    <row r="33" customFormat="false" ht="15" hidden="false" customHeight="false" outlineLevel="0" collapsed="false">
      <c r="H33" s="0" t="s">
        <v>49</v>
      </c>
    </row>
    <row r="34" customFormat="false" ht="15" hidden="false" customHeight="false" outlineLevel="0" collapsed="false">
      <c r="H34" s="0" t="s">
        <v>50</v>
      </c>
    </row>
    <row r="35" customFormat="false" ht="15" hidden="false" customHeight="false" outlineLevel="0" collapsed="false">
      <c r="H35" s="0" t="n">
        <f aca="false">G11</f>
        <v>2</v>
      </c>
      <c r="I35" s="0" t="s">
        <v>51</v>
      </c>
      <c r="J35" s="0" t="s">
        <v>52</v>
      </c>
      <c r="K35" s="0" t="s">
        <v>53</v>
      </c>
      <c r="P35" s="0" t="s">
        <v>54</v>
      </c>
    </row>
    <row r="36" customFormat="false" ht="15" hidden="false" customHeight="false" outlineLevel="0" collapsed="false">
      <c r="H36" s="0" t="n">
        <f aca="false">G12</f>
        <v>3</v>
      </c>
      <c r="I36" s="0" t="n">
        <f aca="false">_xlfn.CEILING.MATH(B2*D2/1088)*24</f>
        <v>120</v>
      </c>
      <c r="J36" s="0" t="n">
        <f aca="false">E11</f>
        <v>8</v>
      </c>
      <c r="K36" s="0" t="n">
        <f aca="false">_xlfn.CEILING.MATH(B2*D2/64)</f>
        <v>78</v>
      </c>
      <c r="L36" s="0" t="s">
        <v>55</v>
      </c>
    </row>
    <row r="37" customFormat="false" ht="15" hidden="false" customHeight="false" outlineLevel="0" collapsed="false">
      <c r="H37" s="0" t="n">
        <f aca="false">G13</f>
        <v>4</v>
      </c>
      <c r="I37" s="0" t="n">
        <f aca="false">_xlfn.CEILING.MATH(B3*D3/1088)*24</f>
        <v>168</v>
      </c>
      <c r="K37" s="0" t="n">
        <f aca="false">_xlfn.CEILING.MATH(B3*D3/64)</f>
        <v>111</v>
      </c>
      <c r="L37" s="0" t="n">
        <f aca="false">L11</f>
        <v>1243</v>
      </c>
      <c r="M37" s="0" t="s">
        <v>56</v>
      </c>
    </row>
    <row r="38" customFormat="false" ht="15" hidden="false" customHeight="false" outlineLevel="0" collapsed="false">
      <c r="I38" s="0" t="n">
        <f aca="false">_xlfn.CEILING.MATH(B4*D4/1088)*24</f>
        <v>216</v>
      </c>
      <c r="K38" s="0" t="n">
        <f aca="false">_xlfn.CEILING.MATH(B4*D4/64)</f>
        <v>144</v>
      </c>
      <c r="L38" s="0" t="n">
        <f aca="false">L12</f>
        <v>1579</v>
      </c>
      <c r="M38" s="0" t="n">
        <f aca="false">F11</f>
        <v>2</v>
      </c>
      <c r="N38" s="0" t="s">
        <v>47</v>
      </c>
    </row>
    <row r="39" customFormat="false" ht="15" hidden="false" customHeight="false" outlineLevel="0" collapsed="false">
      <c r="L39" s="0" t="n">
        <f aca="false">L13</f>
        <v>2043</v>
      </c>
      <c r="M39" s="0" t="n">
        <f aca="false">F12</f>
        <v>3</v>
      </c>
      <c r="N39" s="0" t="n">
        <v>24</v>
      </c>
      <c r="O39" s="0" t="s">
        <v>57</v>
      </c>
    </row>
    <row r="40" customFormat="false" ht="15" hidden="false" customHeight="false" outlineLevel="0" collapsed="false">
      <c r="M40" s="0" t="n">
        <f aca="false">F13</f>
        <v>4</v>
      </c>
      <c r="N40" s="0" t="n">
        <v>24</v>
      </c>
      <c r="O40" s="0" t="n">
        <f aca="false">F11+G11</f>
        <v>4</v>
      </c>
      <c r="P40" s="0" t="n">
        <f aca="false">O40+N39+M38+L37+K36+I36+H35+7</f>
        <v>1480</v>
      </c>
    </row>
    <row r="41" customFormat="false" ht="15" hidden="false" customHeight="false" outlineLevel="0" collapsed="false">
      <c r="N41" s="0" t="n">
        <v>24</v>
      </c>
      <c r="O41" s="0" t="n">
        <f aca="false">F12+G12</f>
        <v>6</v>
      </c>
      <c r="P41" s="0" t="n">
        <f aca="false">O41+N40+M39+L38+K37+I37+H36+7</f>
        <v>1901</v>
      </c>
    </row>
    <row r="42" customFormat="false" ht="15" hidden="false" customHeight="false" outlineLevel="0" collapsed="false">
      <c r="O42" s="0" t="n">
        <f aca="false">F13+G13</f>
        <v>8</v>
      </c>
      <c r="P42" s="0" t="n">
        <f aca="false">O42+N41+M40+L39+K38+I38+H37+7</f>
        <v>2450</v>
      </c>
    </row>
    <row r="44" customFormat="false" ht="15" hidden="false" customHeight="false" outlineLevel="0" collapsed="false">
      <c r="H44" s="0" t="s">
        <v>45</v>
      </c>
    </row>
    <row r="45" customFormat="false" ht="15" hidden="false" customHeight="false" outlineLevel="0" collapsed="false">
      <c r="H45" s="0" t="s">
        <v>58</v>
      </c>
    </row>
    <row r="46" customFormat="false" ht="15" hidden="false" customHeight="false" outlineLevel="0" collapsed="false">
      <c r="H46" s="0" t="n">
        <f aca="false">_xlfn.CEILING.MATH(F5*8/64)</f>
        <v>85</v>
      </c>
      <c r="I46" s="0" t="s">
        <v>59</v>
      </c>
      <c r="J46" s="0" t="s">
        <v>60</v>
      </c>
    </row>
    <row r="47" customFormat="false" ht="15" hidden="false" customHeight="false" outlineLevel="0" collapsed="false">
      <c r="H47" s="0" t="n">
        <f aca="false">_xlfn.CEILING.MATH(F6*8/64)</f>
        <v>123</v>
      </c>
      <c r="I47" s="0" t="n">
        <v>24</v>
      </c>
      <c r="J47" s="0" t="n">
        <f aca="false">_xlfn.CEILING.MATH(B5*C5/1088)*24</f>
        <v>192</v>
      </c>
      <c r="K47" s="0" t="s">
        <v>61</v>
      </c>
      <c r="L47" s="0" t="s">
        <v>39</v>
      </c>
      <c r="T47" s="0" t="s">
        <v>32</v>
      </c>
    </row>
    <row r="48" customFormat="false" ht="15" hidden="false" customHeight="false" outlineLevel="0" collapsed="false">
      <c r="H48" s="0" t="n">
        <f aca="false">_xlfn.CEILING.MATH(F7*8/64)</f>
        <v>169</v>
      </c>
      <c r="I48" s="0" t="n">
        <v>24</v>
      </c>
      <c r="J48" s="0" t="n">
        <f aca="false">_xlfn.CEILING.MATH(B6*C6/1088)*24</f>
        <v>240</v>
      </c>
      <c r="K48" s="0" t="n">
        <f aca="false">_xlfn.CEILING.MATH(B5*2/1088)*24</f>
        <v>48</v>
      </c>
      <c r="L48" s="0" t="n">
        <f aca="false">_xlfn.CEILING.MATH(B5*C5/64)</f>
        <v>120</v>
      </c>
      <c r="M48" s="0" t="s">
        <v>62</v>
      </c>
    </row>
    <row r="49" customFormat="false" ht="15" hidden="false" customHeight="false" outlineLevel="0" collapsed="false">
      <c r="I49" s="0" t="n">
        <v>24</v>
      </c>
      <c r="J49" s="0" t="n">
        <f aca="false">_xlfn.CEILING.MATH(B7*C7/1088)*24</f>
        <v>336</v>
      </c>
      <c r="K49" s="0" t="n">
        <f aca="false">_xlfn.CEILING.MATH(B6*2/1088)*24</f>
        <v>48</v>
      </c>
      <c r="L49" s="0" t="n">
        <f aca="false">_xlfn.CEILING.MATH(B6*C6/64)</f>
        <v>160</v>
      </c>
      <c r="M49" s="0" t="n">
        <f aca="false">_xlfn.CEILING.MATH(B5*2/64)</f>
        <v>19</v>
      </c>
      <c r="N49" s="0" t="s">
        <v>45</v>
      </c>
    </row>
    <row r="50" customFormat="false" ht="15" hidden="false" customHeight="false" outlineLevel="0" collapsed="false">
      <c r="K50" s="0" t="n">
        <f aca="false">_xlfn.CEILING.MATH(B7*2/1088)*24</f>
        <v>72</v>
      </c>
      <c r="L50" s="0" t="n">
        <f aca="false">_xlfn.CEILING.MATH(B7*C7/64)</f>
        <v>238</v>
      </c>
      <c r="M50" s="0" t="n">
        <f aca="false">_xlfn.CEILING.MATH(B6*2/64)</f>
        <v>27</v>
      </c>
      <c r="N50" s="0" t="n">
        <f aca="false">K14</f>
        <v>2354</v>
      </c>
      <c r="O50" s="0" t="s">
        <v>46</v>
      </c>
    </row>
    <row r="51" customFormat="false" ht="15" hidden="false" customHeight="false" outlineLevel="0" collapsed="false">
      <c r="M51" s="0" t="n">
        <f aca="false">_xlfn.CEILING.MATH(B7*2/64)</f>
        <v>37</v>
      </c>
      <c r="N51" s="0" t="n">
        <f aca="false">K15</f>
        <v>3418</v>
      </c>
      <c r="O51" s="0" t="n">
        <f aca="false">E14</f>
        <v>8</v>
      </c>
      <c r="P51" s="0" t="s">
        <v>47</v>
      </c>
    </row>
    <row r="52" customFormat="false" ht="15" hidden="false" customHeight="false" outlineLevel="0" collapsed="false">
      <c r="N52" s="0" t="n">
        <f aca="false">K16</f>
        <v>4690</v>
      </c>
      <c r="O52" s="0" t="n">
        <f aca="false">E15</f>
        <v>15</v>
      </c>
      <c r="P52" s="0" t="n">
        <v>24</v>
      </c>
      <c r="Q52" s="0" t="s">
        <v>63</v>
      </c>
    </row>
    <row r="53" customFormat="false" ht="15" hidden="false" customHeight="false" outlineLevel="0" collapsed="false">
      <c r="O53" s="0" t="n">
        <f aca="false">E16</f>
        <v>20</v>
      </c>
      <c r="P53" s="0" t="n">
        <v>24</v>
      </c>
      <c r="Q53" s="0" t="n">
        <f aca="false">O51+F14</f>
        <v>10</v>
      </c>
      <c r="R53" s="0" t="s">
        <v>64</v>
      </c>
    </row>
    <row r="54" customFormat="false" ht="15" hidden="false" customHeight="false" outlineLevel="0" collapsed="false">
      <c r="P54" s="0" t="n">
        <v>24</v>
      </c>
      <c r="Q54" s="0" t="n">
        <f aca="false">O52+F15</f>
        <v>18</v>
      </c>
      <c r="R54" s="0" t="n">
        <v>24</v>
      </c>
      <c r="S54" s="0" t="s">
        <v>65</v>
      </c>
    </row>
    <row r="55" customFormat="false" ht="15" hidden="false" customHeight="false" outlineLevel="0" collapsed="false">
      <c r="Q55" s="0" t="n">
        <f aca="false">O53+F16</f>
        <v>24</v>
      </c>
      <c r="R55" s="0" t="n">
        <v>24</v>
      </c>
      <c r="S55" s="0" t="n">
        <f aca="false">I61</f>
        <v>95</v>
      </c>
      <c r="T55" s="0" t="n">
        <f aca="false">S55+R54+Q53+P52+O51+N50+M49+L48+K48+J47+H46+11</f>
        <v>2990</v>
      </c>
    </row>
    <row r="56" customFormat="false" ht="15" hidden="false" customHeight="false" outlineLevel="0" collapsed="false">
      <c r="R56" s="0" t="n">
        <v>24</v>
      </c>
      <c r="S56" s="0" t="n">
        <f aca="false">I62</f>
        <v>140</v>
      </c>
      <c r="T56" s="0" t="n">
        <f aca="false">S56+R55+Q54+P53+O52+N51+M50+L49+K49+J48+H47+11</f>
        <v>4248</v>
      </c>
    </row>
    <row r="57" customFormat="false" ht="15" hidden="false" customHeight="false" outlineLevel="0" collapsed="false">
      <c r="S57" s="0" t="n">
        <f aca="false">I63</f>
        <v>191</v>
      </c>
      <c r="T57" s="0" t="n">
        <f aca="false">S57+R56+Q55+P54+O53+N52+M51+L50+K50+J49+H48+11</f>
        <v>5836</v>
      </c>
    </row>
    <row r="58" customFormat="false" ht="15" hidden="false" customHeight="false" outlineLevel="0" collapsed="false">
      <c r="H58" s="0" t="s">
        <v>55</v>
      </c>
    </row>
    <row r="59" customFormat="false" ht="15" hidden="false" customHeight="false" outlineLevel="0" collapsed="false">
      <c r="H59" s="0" t="s">
        <v>50</v>
      </c>
    </row>
    <row r="60" customFormat="false" ht="15" hidden="false" customHeight="false" outlineLevel="0" collapsed="false">
      <c r="H60" s="0" t="n">
        <f aca="false">_xlfn.CEILING.MATH(G5*8/64)</f>
        <v>89</v>
      </c>
      <c r="I60" s="0" t="s">
        <v>66</v>
      </c>
    </row>
    <row r="61" customFormat="false" ht="15" hidden="false" customHeight="false" outlineLevel="0" collapsed="false">
      <c r="H61" s="0" t="n">
        <f aca="false">_xlfn.CEILING.MATH(G6*8/64)</f>
        <v>129</v>
      </c>
      <c r="I61" s="0" t="n">
        <f aca="false">_xlfn.CEILING.MATH(I5*8/64)</f>
        <v>95</v>
      </c>
      <c r="J61" s="0" t="s">
        <v>67</v>
      </c>
    </row>
    <row r="62" customFormat="false" ht="15" hidden="false" customHeight="false" outlineLevel="0" collapsed="false">
      <c r="H62" s="0" t="n">
        <f aca="false">_xlfn.CEILING.MATH(G7*8/64)</f>
        <v>177</v>
      </c>
      <c r="I62" s="0" t="n">
        <f aca="false">_xlfn.CEILING.MATH(I6*8/64)</f>
        <v>140</v>
      </c>
      <c r="J62" s="0" t="n">
        <f aca="false">L14</f>
        <v>1179</v>
      </c>
      <c r="K62" s="0" t="s">
        <v>68</v>
      </c>
    </row>
    <row r="63" customFormat="false" ht="15" hidden="false" customHeight="false" outlineLevel="0" collapsed="false">
      <c r="I63" s="0" t="n">
        <f aca="false">_xlfn.CEILING.MATH(I7*8/64)</f>
        <v>191</v>
      </c>
      <c r="J63" s="0" t="n">
        <f aca="false">L15</f>
        <v>1711</v>
      </c>
      <c r="K63" s="0" t="n">
        <f aca="false">E14</f>
        <v>8</v>
      </c>
      <c r="L63" s="0" t="s">
        <v>69</v>
      </c>
      <c r="M63" s="0" t="s">
        <v>70</v>
      </c>
    </row>
    <row r="64" customFormat="false" ht="15" hidden="false" customHeight="false" outlineLevel="0" collapsed="false">
      <c r="J64" s="0" t="n">
        <f aca="false">L16</f>
        <v>2347</v>
      </c>
      <c r="K64" s="0" t="n">
        <f aca="false">E15</f>
        <v>15</v>
      </c>
      <c r="L64" s="0" t="n">
        <v>24</v>
      </c>
      <c r="M64" s="0" t="n">
        <f aca="false">_xlfn.CEILING.MATH(F5*8/64)</f>
        <v>85</v>
      </c>
      <c r="N64" s="0" t="s">
        <v>60</v>
      </c>
      <c r="O64" s="0" t="s">
        <v>61</v>
      </c>
    </row>
    <row r="65" customFormat="false" ht="15" hidden="false" customHeight="false" outlineLevel="0" collapsed="false">
      <c r="K65" s="0" t="n">
        <f aca="false">E16</f>
        <v>20</v>
      </c>
      <c r="L65" s="0" t="n">
        <v>24</v>
      </c>
      <c r="M65" s="0" t="n">
        <f aca="false">_xlfn.CEILING.MATH(F6*8/64)</f>
        <v>123</v>
      </c>
      <c r="N65" s="0" t="n">
        <f aca="false">_xlfn.CEILING.MATH(B5*C5/1088)*24</f>
        <v>192</v>
      </c>
      <c r="O65" s="0" t="n">
        <f aca="false">_xlfn.CEILING.MATH(B5*2/64)</f>
        <v>19</v>
      </c>
      <c r="P65" s="0" t="s">
        <v>71</v>
      </c>
    </row>
    <row r="66" customFormat="false" ht="15" hidden="false" customHeight="false" outlineLevel="0" collapsed="false">
      <c r="L66" s="0" t="n">
        <v>24</v>
      </c>
      <c r="M66" s="0" t="n">
        <f aca="false">_xlfn.CEILING.MATH(F7*8/64)</f>
        <v>169</v>
      </c>
      <c r="N66" s="0" t="n">
        <f aca="false">_xlfn.CEILING.MATH(B6*C6/1088)*24</f>
        <v>240</v>
      </c>
      <c r="O66" s="0" t="n">
        <f aca="false">_xlfn.CEILING.MATH(B6*2/64)</f>
        <v>27</v>
      </c>
      <c r="P66" s="0" t="n">
        <f aca="false">O65</f>
        <v>19</v>
      </c>
      <c r="Q66" s="0" t="s">
        <v>72</v>
      </c>
      <c r="U66" s="0" t="s">
        <v>54</v>
      </c>
    </row>
    <row r="67" customFormat="false" ht="15" hidden="false" customHeight="false" outlineLevel="0" collapsed="false">
      <c r="N67" s="0" t="n">
        <f aca="false">_xlfn.CEILING.MATH(B7*C7/1088)*24</f>
        <v>336</v>
      </c>
      <c r="O67" s="0" t="n">
        <f aca="false">_xlfn.CEILING.MATH(B7*2/64)</f>
        <v>37</v>
      </c>
      <c r="P67" s="0" t="n">
        <f aca="false">O66</f>
        <v>27</v>
      </c>
      <c r="Q67" s="0" t="n">
        <f aca="false">K14</f>
        <v>2354</v>
      </c>
      <c r="R67" s="0" t="s">
        <v>69</v>
      </c>
    </row>
    <row r="68" customFormat="false" ht="15" hidden="false" customHeight="false" outlineLevel="0" collapsed="false">
      <c r="P68" s="0" t="n">
        <f aca="false">O67</f>
        <v>37</v>
      </c>
      <c r="Q68" s="0" t="n">
        <f aca="false">K15</f>
        <v>3418</v>
      </c>
      <c r="R68" s="0" t="n">
        <v>24</v>
      </c>
      <c r="S68" s="0" t="s">
        <v>73</v>
      </c>
    </row>
    <row r="69" customFormat="false" ht="15" hidden="false" customHeight="false" outlineLevel="0" collapsed="false">
      <c r="Q69" s="0" t="n">
        <f aca="false">K16</f>
        <v>4690</v>
      </c>
      <c r="R69" s="0" t="n">
        <v>24</v>
      </c>
      <c r="S69" s="0" t="n">
        <v>24</v>
      </c>
      <c r="T69" s="0" t="s">
        <v>74</v>
      </c>
    </row>
    <row r="70" customFormat="false" ht="15" hidden="false" customHeight="false" outlineLevel="0" collapsed="false">
      <c r="R70" s="0" t="n">
        <v>24</v>
      </c>
      <c r="S70" s="0" t="n">
        <v>24</v>
      </c>
      <c r="T70" s="0" t="n">
        <f aca="false">J5*8/64</f>
        <v>2</v>
      </c>
      <c r="U70" s="0" t="n">
        <f aca="false">T70+S69+R68+Q67+P66+N65+M64+J62+I61+H60</f>
        <v>4063</v>
      </c>
    </row>
    <row r="71" customFormat="false" ht="15" hidden="false" customHeight="false" outlineLevel="0" collapsed="false">
      <c r="S71" s="0" t="n">
        <v>24</v>
      </c>
      <c r="T71" s="0" t="n">
        <f aca="false">J6*8/64</f>
        <v>3</v>
      </c>
      <c r="U71" s="0" t="n">
        <f aca="false">T71+S70+R69+Q68+P67+N66+M65+J63+I62+H61</f>
        <v>5839</v>
      </c>
    </row>
    <row r="72" customFormat="false" ht="15" hidden="false" customHeight="false" outlineLevel="0" collapsed="false">
      <c r="T72" s="0" t="n">
        <f aca="false">J7*8/64</f>
        <v>4</v>
      </c>
      <c r="U72" s="0" t="n">
        <f aca="false">T72+S71+R70+Q69+P68+N67+M66+J64+I63+H62</f>
        <v>7999</v>
      </c>
    </row>
    <row r="73" customFormat="false" ht="15" hidden="false" customHeight="false" outlineLevel="0" collapsed="false">
      <c r="U73" s="0" t="n">
        <f aca="false">T73+S72+R71+Q70+P69+N68+M67+J65+I64+H63</f>
        <v>0</v>
      </c>
    </row>
    <row r="74" customFormat="false" ht="15" hidden="false" customHeight="false" outlineLevel="0" collapsed="false">
      <c r="U74" s="0" t="n">
        <f aca="false">T74+S73+R72+Q71+P70+N69+M68+J66+I65+H64</f>
        <v>0</v>
      </c>
    </row>
    <row r="75" customFormat="false" ht="15" hidden="false" customHeight="false" outlineLevel="0" collapsed="false">
      <c r="U75" s="0" t="n">
        <f aca="false">T75+S74+R73+Q72+P71+N70+M69+J67+I66+H65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B36" activeCellId="1" sqref="S90:S101 B36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8.57"/>
    <col collapsed="false" customWidth="false" hidden="false" outlineLevel="0" max="3" min="3" style="0" width="11.43"/>
    <col collapsed="false" customWidth="true" hidden="false" outlineLevel="0" max="4" min="4" style="0" width="10.57"/>
    <col collapsed="false" customWidth="true" hidden="false" outlineLevel="0" max="5" min="5" style="0" width="10.85"/>
    <col collapsed="false" customWidth="true" hidden="false" outlineLevel="0" max="6" min="6" style="0" width="16"/>
    <col collapsed="false" customWidth="true" hidden="false" outlineLevel="0" max="7" min="7" style="0" width="12.71"/>
    <col collapsed="false" customWidth="true" hidden="false" outlineLevel="0" max="1025" min="8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5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5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5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5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5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8" customFormat="false" ht="15" hidden="false" customHeight="false" outlineLevel="0" collapsed="false">
      <c r="A8" s="0" t="s">
        <v>75</v>
      </c>
      <c r="B8" s="0" t="n">
        <v>490</v>
      </c>
      <c r="C8" s="0" t="n">
        <v>10</v>
      </c>
      <c r="D8" s="0" t="n">
        <v>7</v>
      </c>
      <c r="E8" s="0" t="n">
        <v>3</v>
      </c>
      <c r="F8" s="0" t="n">
        <v>445</v>
      </c>
      <c r="G8" s="0" t="n">
        <v>16</v>
      </c>
      <c r="J8" s="0" t="n">
        <v>16</v>
      </c>
    </row>
    <row r="9" customFormat="false" ht="15" hidden="false" customHeight="false" outlineLevel="0" collapsed="false">
      <c r="A9" s="0" t="s">
        <v>76</v>
      </c>
      <c r="B9" s="0" t="n">
        <v>756</v>
      </c>
      <c r="C9" s="0" t="n">
        <v>12</v>
      </c>
      <c r="D9" s="0" t="n">
        <v>8</v>
      </c>
      <c r="E9" s="0" t="n">
        <v>2</v>
      </c>
      <c r="F9" s="0" t="n">
        <v>780</v>
      </c>
      <c r="G9" s="0" t="n">
        <v>24</v>
      </c>
      <c r="J9" s="0" t="n">
        <v>24</v>
      </c>
    </row>
    <row r="10" customFormat="false" ht="15" hidden="false" customHeight="false" outlineLevel="0" collapsed="false">
      <c r="A10" s="0" t="s">
        <v>77</v>
      </c>
      <c r="B10" s="0" t="n">
        <v>940</v>
      </c>
      <c r="C10" s="0" t="n">
        <v>12</v>
      </c>
      <c r="D10" s="0" t="n">
        <v>8</v>
      </c>
      <c r="E10" s="0" t="n">
        <v>2</v>
      </c>
      <c r="F10" s="0" t="n">
        <v>972</v>
      </c>
      <c r="G10" s="0" t="n">
        <v>32</v>
      </c>
      <c r="J10" s="0" t="n">
        <v>32</v>
      </c>
    </row>
    <row r="11" customFormat="false" ht="15" hidden="false" customHeight="false" outlineLevel="0" collapsed="false">
      <c r="A11" s="0" t="s">
        <v>78</v>
      </c>
      <c r="B11" s="0" t="n">
        <v>508</v>
      </c>
      <c r="C11" s="0" t="n">
        <v>10</v>
      </c>
      <c r="D11" s="0" t="n">
        <v>7</v>
      </c>
      <c r="E11" s="0" t="n">
        <v>4</v>
      </c>
      <c r="F11" s="0" t="n">
        <v>461</v>
      </c>
      <c r="G11" s="0" t="n">
        <v>493</v>
      </c>
      <c r="J11" s="0" t="n">
        <v>16</v>
      </c>
    </row>
    <row r="12" customFormat="false" ht="15" hidden="false" customHeight="false" outlineLevel="0" collapsed="false">
      <c r="A12" s="0" t="s">
        <v>79</v>
      </c>
      <c r="B12" s="0" t="n">
        <v>756</v>
      </c>
      <c r="C12" s="0" t="n">
        <v>12</v>
      </c>
      <c r="D12" s="0" t="n">
        <v>8</v>
      </c>
      <c r="E12" s="0" t="n">
        <v>3</v>
      </c>
      <c r="F12" s="0" t="n">
        <v>780</v>
      </c>
      <c r="G12" s="0" t="n">
        <v>828</v>
      </c>
      <c r="J12" s="0" t="n">
        <v>24</v>
      </c>
    </row>
    <row r="13" customFormat="false" ht="15" hidden="false" customHeight="false" outlineLevel="0" collapsed="false">
      <c r="A13" s="0" t="s">
        <v>80</v>
      </c>
      <c r="B13" s="0" t="n">
        <v>946</v>
      </c>
      <c r="C13" s="0" t="n">
        <v>11</v>
      </c>
      <c r="D13" s="0" t="n">
        <v>8</v>
      </c>
      <c r="E13" s="0" t="n">
        <v>5</v>
      </c>
      <c r="F13" s="0" t="n">
        <v>978</v>
      </c>
      <c r="G13" s="0" t="n">
        <v>1042</v>
      </c>
      <c r="J13" s="0" t="n">
        <v>32</v>
      </c>
    </row>
    <row r="14" customFormat="false" ht="15" hidden="false" customHeight="false" outlineLevel="0" collapsed="false">
      <c r="B14" s="6" t="s">
        <v>81</v>
      </c>
      <c r="C14" s="6"/>
      <c r="D14" s="6"/>
      <c r="E14" s="6"/>
      <c r="F14" s="6"/>
      <c r="G14" s="6"/>
    </row>
    <row r="15" customFormat="false" ht="15" hidden="false" customHeight="false" outlineLevel="0" collapsed="false">
      <c r="A15" s="4" t="s">
        <v>82</v>
      </c>
      <c r="B15" s="4" t="s">
        <v>83</v>
      </c>
      <c r="C15" s="4" t="s">
        <v>84</v>
      </c>
      <c r="D15" s="4" t="s">
        <v>85</v>
      </c>
      <c r="E15" s="4" t="s">
        <v>86</v>
      </c>
      <c r="F15" s="4" t="s">
        <v>87</v>
      </c>
      <c r="G15" s="4" t="s">
        <v>88</v>
      </c>
      <c r="H15" s="4"/>
      <c r="I15" s="4"/>
    </row>
    <row r="16" customFormat="false" ht="15" hidden="false" customHeight="false" outlineLevel="0" collapsed="false">
      <c r="A16" s="0" t="s">
        <v>10</v>
      </c>
      <c r="B16" s="0" t="n">
        <v>33036</v>
      </c>
      <c r="C16" s="0" t="n">
        <v>32768</v>
      </c>
      <c r="D16" s="0" t="n">
        <v>4</v>
      </c>
      <c r="E16" s="0" t="n">
        <v>74321</v>
      </c>
      <c r="F16" s="0" t="n">
        <v>192.42</v>
      </c>
      <c r="G16" s="0" t="n">
        <v>212.04</v>
      </c>
      <c r="H16" s="0" t="s">
        <v>89</v>
      </c>
    </row>
    <row r="17" customFormat="false" ht="15" hidden="false" customHeight="false" outlineLevel="0" collapsed="false">
      <c r="A17" s="0" t="s">
        <v>11</v>
      </c>
      <c r="B17" s="0" t="n">
        <v>46466</v>
      </c>
      <c r="C17" s="0" t="n">
        <v>32768</v>
      </c>
      <c r="D17" s="0" t="n">
        <v>4</v>
      </c>
      <c r="E17" s="0" t="n">
        <v>107014</v>
      </c>
      <c r="F17" s="0" t="n">
        <v>177.34</v>
      </c>
      <c r="G17" s="0" t="n">
        <v>198.22</v>
      </c>
      <c r="H17" s="0" t="s">
        <v>89</v>
      </c>
    </row>
    <row r="18" customFormat="false" ht="15" hidden="false" customHeight="false" outlineLevel="0" collapsed="false">
      <c r="A18" s="0" t="s">
        <v>12</v>
      </c>
      <c r="B18" s="0" t="n">
        <v>61823</v>
      </c>
      <c r="C18" s="0" t="n">
        <v>32768</v>
      </c>
      <c r="D18" s="0" t="n">
        <v>4</v>
      </c>
      <c r="E18" s="0" t="n">
        <v>146373</v>
      </c>
      <c r="F18" s="0" t="n">
        <v>183.82</v>
      </c>
      <c r="G18" s="0" t="n">
        <v>204.12</v>
      </c>
      <c r="H18" s="0" t="s">
        <v>89</v>
      </c>
    </row>
    <row r="19" customFormat="false" ht="15" hidden="false" customHeight="false" outlineLevel="0" collapsed="false">
      <c r="A19" s="0" t="s">
        <v>13</v>
      </c>
      <c r="B19" s="0" t="n">
        <v>37252</v>
      </c>
      <c r="C19" s="0" t="n">
        <v>49152</v>
      </c>
      <c r="D19" s="0" t="n">
        <v>6</v>
      </c>
      <c r="E19" s="0" t="n">
        <v>82814</v>
      </c>
      <c r="F19" s="0" t="n">
        <v>191.09</v>
      </c>
      <c r="G19" s="0" t="n">
        <v>207.56</v>
      </c>
      <c r="H19" s="0" t="s">
        <v>89</v>
      </c>
    </row>
    <row r="20" customFormat="false" ht="15" hidden="false" customHeight="false" outlineLevel="0" collapsed="false">
      <c r="A20" s="0" t="s">
        <v>14</v>
      </c>
      <c r="B20" s="0" t="n">
        <v>48029</v>
      </c>
      <c r="C20" s="0" t="n">
        <v>49152</v>
      </c>
      <c r="D20" s="0" t="n">
        <v>6</v>
      </c>
      <c r="E20" s="0" t="n">
        <v>108844</v>
      </c>
      <c r="F20" s="0" t="n">
        <v>194.7</v>
      </c>
      <c r="G20" s="0" t="n">
        <v>214.55</v>
      </c>
      <c r="H20" s="0" t="s">
        <v>89</v>
      </c>
    </row>
    <row r="21" customFormat="false" ht="15" hidden="false" customHeight="false" outlineLevel="0" collapsed="false">
      <c r="A21" s="0" t="s">
        <v>15</v>
      </c>
      <c r="B21" s="0" t="n">
        <v>69727</v>
      </c>
      <c r="C21" s="0" t="n">
        <v>49152</v>
      </c>
      <c r="D21" s="0" t="n">
        <v>6</v>
      </c>
      <c r="E21" s="0" t="n">
        <v>157660</v>
      </c>
      <c r="F21" s="0" t="n">
        <v>187.55</v>
      </c>
      <c r="G21" s="0" t="n">
        <v>206.87</v>
      </c>
      <c r="H21" s="0" t="s">
        <v>89</v>
      </c>
    </row>
    <row r="24" customFormat="false" ht="15" hidden="false" customHeight="false" outlineLevel="0" collapsed="false">
      <c r="A24" s="0" t="s">
        <v>75</v>
      </c>
      <c r="B24" s="0" t="n">
        <v>24192</v>
      </c>
      <c r="C24" s="0" t="n">
        <v>32768</v>
      </c>
      <c r="D24" s="0" t="n">
        <v>4</v>
      </c>
      <c r="E24" s="0" t="n">
        <v>54985</v>
      </c>
      <c r="F24" s="0" t="n">
        <v>219.88</v>
      </c>
      <c r="H24" s="0" t="s">
        <v>89</v>
      </c>
    </row>
    <row r="25" customFormat="false" ht="15" hidden="false" customHeight="false" outlineLevel="0" collapsed="false">
      <c r="A25" s="0" t="s">
        <v>76</v>
      </c>
      <c r="B25" s="0" t="n">
        <v>40885</v>
      </c>
      <c r="C25" s="0" t="n">
        <v>32768</v>
      </c>
      <c r="D25" s="0" t="n">
        <v>4</v>
      </c>
      <c r="E25" s="0" t="n">
        <v>97090</v>
      </c>
      <c r="F25" s="0" t="n">
        <v>193.01</v>
      </c>
      <c r="H25" s="0" t="str">
        <f aca="false">H24</f>
        <v>Arria 10 AX115</v>
      </c>
    </row>
    <row r="26" customFormat="false" ht="15" hidden="false" customHeight="false" outlineLevel="0" collapsed="false">
      <c r="A26" s="0" t="s">
        <v>77</v>
      </c>
      <c r="B26" s="0" t="n">
        <v>50145</v>
      </c>
      <c r="C26" s="0" t="n">
        <v>32768</v>
      </c>
      <c r="D26" s="0" t="n">
        <v>4</v>
      </c>
      <c r="E26" s="0" t="n">
        <v>117657</v>
      </c>
      <c r="F26" s="0" t="n">
        <v>184.2</v>
      </c>
      <c r="H26" s="0" t="str">
        <f aca="false">H25</f>
        <v>Arria 10 AX115</v>
      </c>
    </row>
    <row r="27" customFormat="false" ht="15" hidden="false" customHeight="false" outlineLevel="0" collapsed="false">
      <c r="A27" s="0" t="s">
        <v>78</v>
      </c>
      <c r="B27" s="0" t="n">
        <v>26998</v>
      </c>
      <c r="C27" s="0" t="n">
        <v>49152</v>
      </c>
      <c r="D27" s="0" t="n">
        <v>6</v>
      </c>
      <c r="E27" s="0" t="n">
        <v>57028</v>
      </c>
      <c r="F27" s="0" t="n">
        <v>193.57</v>
      </c>
      <c r="H27" s="0" t="str">
        <f aca="false">H26</f>
        <v>Arria 10 AX115</v>
      </c>
    </row>
    <row r="28" customFormat="false" ht="15" hidden="false" customHeight="false" outlineLevel="0" collapsed="false">
      <c r="A28" s="0" t="s">
        <v>79</v>
      </c>
      <c r="B28" s="0" t="n">
        <v>43014</v>
      </c>
      <c r="C28" s="0" t="n">
        <v>49152</v>
      </c>
      <c r="D28" s="0" t="n">
        <v>6</v>
      </c>
      <c r="E28" s="0" t="n">
        <v>96859</v>
      </c>
      <c r="F28" s="0" t="n">
        <v>189.83</v>
      </c>
      <c r="G28" s="0" t="n">
        <v>208.07</v>
      </c>
      <c r="H28" s="0" t="str">
        <f aca="false">H27</f>
        <v>Arria 10 AX115</v>
      </c>
    </row>
    <row r="29" customFormat="false" ht="15" hidden="false" customHeight="false" outlineLevel="0" collapsed="false">
      <c r="A29" s="0" t="s">
        <v>80</v>
      </c>
      <c r="B29" s="0" t="n">
        <v>50373</v>
      </c>
      <c r="C29" s="0" t="n">
        <v>491522</v>
      </c>
      <c r="D29" s="0" t="n">
        <v>6</v>
      </c>
      <c r="E29" s="0" t="n">
        <v>112311</v>
      </c>
      <c r="F29" s="0" t="n">
        <v>197.23</v>
      </c>
      <c r="G29" s="0" t="n">
        <v>220.17</v>
      </c>
      <c r="H29" s="0" t="str">
        <f aca="false">H28</f>
        <v>Arria 10 AX115</v>
      </c>
    </row>
  </sheetData>
  <mergeCells count="1"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S90:S101 A1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8.57"/>
    <col collapsed="false" customWidth="true" hidden="false" outlineLevel="0" max="3" min="3" style="7" width="8.57"/>
    <col collapsed="false" customWidth="true" hidden="false" outlineLevel="0" max="4" min="4" style="0" width="8.57"/>
    <col collapsed="false" customWidth="true" hidden="false" outlineLevel="0" max="5" min="5" style="7" width="8.57"/>
    <col collapsed="false" customWidth="true" hidden="false" outlineLevel="0" max="6" min="6" style="0" width="8.57"/>
    <col collapsed="false" customWidth="true" hidden="false" outlineLevel="0" max="7" min="7" style="0" width="17"/>
    <col collapsed="false" customWidth="true" hidden="false" outlineLevel="0" max="8" min="8" style="8" width="9.28"/>
    <col collapsed="false" customWidth="true" hidden="false" outlineLevel="0" max="1025" min="9" style="0" width="8.57"/>
  </cols>
  <sheetData>
    <row r="1" s="12" customFormat="true" ht="15" hidden="false" customHeight="false" outlineLevel="0" collapsed="false">
      <c r="A1" s="9" t="s">
        <v>90</v>
      </c>
      <c r="B1" s="9" t="s">
        <v>91</v>
      </c>
      <c r="C1" s="10" t="str">
        <f aca="false">Cycle_estimation!A20</f>
        <v>1KEM_0d</v>
      </c>
      <c r="D1" s="9" t="s">
        <v>91</v>
      </c>
      <c r="E1" s="10" t="str">
        <f aca="false">Cycle_estimation_with_XEf!A20</f>
        <v>1KEM_5d</v>
      </c>
      <c r="F1" s="9" t="s">
        <v>91</v>
      </c>
      <c r="G1" s="9"/>
      <c r="H1" s="11" t="s">
        <v>92</v>
      </c>
    </row>
    <row r="2" customFormat="false" ht="15" hidden="false" customHeight="false" outlineLevel="0" collapsed="false">
      <c r="A2" s="13" t="s">
        <v>93</v>
      </c>
      <c r="B2" s="0" t="s">
        <v>91</v>
      </c>
      <c r="C2" s="7" t="n">
        <v>618</v>
      </c>
      <c r="D2" s="0" t="s">
        <v>91</v>
      </c>
      <c r="E2" s="7" t="n">
        <v>490</v>
      </c>
      <c r="F2" s="0" t="s">
        <v>91</v>
      </c>
      <c r="G2" s="0" t="str">
        <f aca="false">IF(H2&gt;0,"\textcolor{red}{+","\textcolor{OliveGreen}{")</f>
        <v>\textcolor{OliveGreen}{</v>
      </c>
      <c r="H2" s="8" t="n">
        <f aca="false">(E2-C2)/C2</f>
        <v>-0.207119741100324</v>
      </c>
      <c r="I2" s="0" t="s">
        <v>94</v>
      </c>
    </row>
    <row r="3" customFormat="false" ht="15" hidden="false" customHeight="false" outlineLevel="0" collapsed="false">
      <c r="A3" s="13" t="s">
        <v>95</v>
      </c>
      <c r="B3" s="0" t="s">
        <v>91</v>
      </c>
      <c r="C3" s="7" t="n">
        <v>634</v>
      </c>
      <c r="D3" s="0" t="s">
        <v>91</v>
      </c>
      <c r="E3" s="7" t="n">
        <v>445</v>
      </c>
      <c r="F3" s="0" t="s">
        <v>91</v>
      </c>
      <c r="G3" s="0" t="str">
        <f aca="false">IF(H3&gt;0,"\textcolor{red}{+","\textcolor{OliveGreen}{")</f>
        <v>\textcolor{OliveGreen}{</v>
      </c>
      <c r="H3" s="8" t="n">
        <f aca="false">(E3-C3)/C3</f>
        <v>-0.298107255520505</v>
      </c>
      <c r="I3" s="0" t="s">
        <v>94</v>
      </c>
    </row>
    <row r="4" customFormat="false" ht="15" hidden="false" customHeight="false" outlineLevel="0" collapsed="false">
      <c r="A4" s="13" t="s">
        <v>96</v>
      </c>
      <c r="B4" s="0" t="s">
        <v>91</v>
      </c>
      <c r="C4" s="7" t="n">
        <v>16</v>
      </c>
      <c r="D4" s="0" t="s">
        <v>91</v>
      </c>
      <c r="E4" s="7" t="n">
        <v>16</v>
      </c>
      <c r="F4" s="0" t="s">
        <v>91</v>
      </c>
      <c r="G4" s="0" t="str">
        <f aca="false">IF(H4&gt;0,"\textcolor{red}{+","\textcolor{OliveGreen}{")</f>
        <v>\textcolor{OliveGreen}{</v>
      </c>
      <c r="H4" s="8" t="n">
        <f aca="false">(E4-C4)/C4</f>
        <v>0</v>
      </c>
      <c r="I4" s="0" t="s">
        <v>94</v>
      </c>
    </row>
    <row r="5" customFormat="false" ht="15" hidden="false" customHeight="false" outlineLevel="0" collapsed="false">
      <c r="A5" s="13" t="s">
        <v>97</v>
      </c>
      <c r="B5" s="0" t="s">
        <v>91</v>
      </c>
      <c r="C5" s="7" t="n">
        <v>682</v>
      </c>
      <c r="D5" s="0" t="s">
        <v>91</v>
      </c>
      <c r="E5" s="7" t="n">
        <v>549</v>
      </c>
      <c r="F5" s="0" t="s">
        <v>91</v>
      </c>
      <c r="G5" s="0" t="str">
        <f aca="false">IF(H5&gt;0,"\textcolor{red}{+","\textcolor{OliveGreen}{")</f>
        <v>\textcolor{OliveGreen}{</v>
      </c>
      <c r="H5" s="8" t="n">
        <f aca="false">(E5-C5)/C5</f>
        <v>-0.195014662756598</v>
      </c>
      <c r="I5" s="0" t="s">
        <v>94</v>
      </c>
    </row>
    <row r="6" customFormat="false" ht="15" hidden="false" customHeight="false" outlineLevel="0" collapsed="false">
      <c r="A6" s="0" t="s">
        <v>98</v>
      </c>
      <c r="B6" s="0" t="s">
        <v>91</v>
      </c>
      <c r="C6" s="7" t="n">
        <f aca="false">Cycle_estimation!B20</f>
        <v>2985</v>
      </c>
      <c r="D6" s="0" t="s">
        <v>91</v>
      </c>
      <c r="E6" s="7" t="n">
        <f aca="false">Cycle_estimation_with_XEf!B20</f>
        <v>2219</v>
      </c>
      <c r="F6" s="0" t="s">
        <v>91</v>
      </c>
      <c r="G6" s="0" t="str">
        <f aca="false">IF(H6&gt;0,"\textcolor{red}{+","\textcolor{OliveGreen}{")</f>
        <v>\textcolor{OliveGreen}{</v>
      </c>
      <c r="H6" s="8" t="n">
        <f aca="false">(E6-C6)/C6</f>
        <v>-0.256616415410385</v>
      </c>
      <c r="I6" s="0" t="s">
        <v>94</v>
      </c>
    </row>
    <row r="7" customFormat="false" ht="15" hidden="false" customHeight="false" outlineLevel="0" collapsed="false">
      <c r="A7" s="0" t="s">
        <v>99</v>
      </c>
      <c r="B7" s="0" t="s">
        <v>91</v>
      </c>
      <c r="C7" s="7" t="n">
        <f aca="false">Cycle_estimation!C20</f>
        <v>1480</v>
      </c>
      <c r="D7" s="0" t="s">
        <v>91</v>
      </c>
      <c r="E7" s="7" t="n">
        <f aca="false">Cycle_estimation_with_XEf!C20</f>
        <v>1200</v>
      </c>
      <c r="F7" s="0" t="s">
        <v>91</v>
      </c>
      <c r="G7" s="0" t="str">
        <f aca="false">IF(H7&gt;0,"\textcolor{red}{+","\textcolor{OliveGreen}{")</f>
        <v>\textcolor{OliveGreen}{</v>
      </c>
      <c r="H7" s="8" t="n">
        <f aca="false">(E7-C7)/C7</f>
        <v>-0.189189189189189</v>
      </c>
      <c r="I7" s="0" t="str">
        <f aca="false">I6</f>
        <v>}\\</v>
      </c>
    </row>
    <row r="8" customFormat="false" ht="15" hidden="false" customHeight="false" outlineLevel="0" collapsed="false">
      <c r="A8" s="0" t="s">
        <v>100</v>
      </c>
      <c r="B8" s="0" t="s">
        <v>91</v>
      </c>
      <c r="C8" s="7" t="n">
        <v>45521</v>
      </c>
      <c r="D8" s="0" t="s">
        <v>91</v>
      </c>
      <c r="E8" s="14"/>
      <c r="F8" s="0" t="s">
        <v>91</v>
      </c>
      <c r="G8" s="0" t="str">
        <f aca="false">IF(H8&gt;0,"\textcolor{red}{+","\textcolor{OliveGreen}{")</f>
        <v>\textcolor{OliveGreen}{</v>
      </c>
      <c r="H8" s="8" t="n">
        <f aca="false">(E8-C8)/C8</f>
        <v>-1</v>
      </c>
      <c r="I8" s="0" t="str">
        <f aca="false">I7</f>
        <v>}\\</v>
      </c>
    </row>
    <row r="9" customFormat="false" ht="15" hidden="false" customHeight="false" outlineLevel="0" collapsed="false">
      <c r="A9" s="0" t="s">
        <v>101</v>
      </c>
      <c r="B9" s="0" t="s">
        <v>91</v>
      </c>
      <c r="C9" s="7" t="n">
        <v>10032</v>
      </c>
      <c r="D9" s="0" t="s">
        <v>91</v>
      </c>
      <c r="E9" s="14"/>
      <c r="F9" s="0" t="s">
        <v>91</v>
      </c>
      <c r="G9" s="0" t="str">
        <f aca="false">IF(H9&gt;0,"\textcolor{red}{+","\textcolor{OliveGreen}{")</f>
        <v>\textcolor{OliveGreen}{</v>
      </c>
      <c r="H9" s="8" t="n">
        <f aca="false">(E9-C9)/C9</f>
        <v>-1</v>
      </c>
      <c r="I9" s="0" t="str">
        <f aca="false">I8</f>
        <v>}\\</v>
      </c>
    </row>
    <row r="10" customFormat="false" ht="15" hidden="false" customHeight="false" outlineLevel="0" collapsed="false">
      <c r="A10" s="0" t="s">
        <v>102</v>
      </c>
      <c r="B10" s="0" t="s">
        <v>91</v>
      </c>
      <c r="C10" s="7" t="n">
        <v>2</v>
      </c>
      <c r="D10" s="0" t="s">
        <v>91</v>
      </c>
      <c r="E10" s="14"/>
      <c r="F10" s="0" t="s">
        <v>91</v>
      </c>
      <c r="G10" s="0" t="str">
        <f aca="false">IF(H10&gt;0,"\textcolor{red}{+","\textcolor{OliveGreen}{")</f>
        <v>\textcolor{OliveGreen}{</v>
      </c>
      <c r="H10" s="8" t="n">
        <f aca="false">(E10-C10)/C10</f>
        <v>-1</v>
      </c>
      <c r="I10" s="0" t="str">
        <f aca="false">I9</f>
        <v>}\\</v>
      </c>
    </row>
    <row r="11" customFormat="false" ht="15" hidden="false" customHeight="false" outlineLevel="0" collapsed="false">
      <c r="A11" s="0" t="s">
        <v>103</v>
      </c>
      <c r="B11" s="0" t="s">
        <v>91</v>
      </c>
      <c r="C11" s="7" t="n">
        <v>260</v>
      </c>
      <c r="D11" s="0" t="s">
        <v>91</v>
      </c>
      <c r="E11" s="14"/>
      <c r="F11" s="0" t="s">
        <v>91</v>
      </c>
      <c r="G11" s="0" t="str">
        <f aca="false">IF(H11&gt;0,"\textcolor{OliveGreen}{+","\textcolor{red}{")</f>
        <v>\textcolor{red}{</v>
      </c>
      <c r="H11" s="8" t="n">
        <f aca="false">(E11-C11)/C11</f>
        <v>-1</v>
      </c>
      <c r="I11" s="0" t="str">
        <f aca="false">I10</f>
        <v>}\\</v>
      </c>
    </row>
    <row r="12" customFormat="false" ht="15" hidden="false" customHeight="false" outlineLevel="0" collapsed="false">
      <c r="A12" s="0" t="s">
        <v>104</v>
      </c>
      <c r="B12" s="0" t="s">
        <v>91</v>
      </c>
      <c r="C12" s="15" t="n">
        <f aca="false">C6/(C$11)</f>
        <v>11.4807692307692</v>
      </c>
      <c r="D12" s="0" t="s">
        <v>91</v>
      </c>
      <c r="E12" s="16" t="n">
        <v>1</v>
      </c>
      <c r="F12" s="0" t="s">
        <v>91</v>
      </c>
      <c r="G12" s="0" t="str">
        <f aca="false">IF(H12&gt;0,"\textcolor{red}{+","\textcolor{OliveGreen}{")</f>
        <v>\textcolor{OliveGreen}{</v>
      </c>
      <c r="H12" s="8" t="n">
        <f aca="false">(E12-C12)/C12</f>
        <v>-0.912897822445561</v>
      </c>
      <c r="I12" s="0" t="str">
        <f aca="false">I9</f>
        <v>}\\</v>
      </c>
    </row>
    <row r="13" customFormat="false" ht="15" hidden="false" customHeight="false" outlineLevel="0" collapsed="false">
      <c r="A13" s="0" t="s">
        <v>105</v>
      </c>
      <c r="B13" s="0" t="s">
        <v>91</v>
      </c>
      <c r="C13" s="15" t="n">
        <f aca="false">C7/(C$11)</f>
        <v>5.69230769230769</v>
      </c>
      <c r="D13" s="0" t="s">
        <v>91</v>
      </c>
      <c r="E13" s="16" t="n">
        <v>1</v>
      </c>
      <c r="F13" s="0" t="s">
        <v>91</v>
      </c>
      <c r="G13" s="0" t="str">
        <f aca="false">IF(H13&gt;0,"\textcolor{red}{+","\textcolor{OliveGreen}{")</f>
        <v>\textcolor{OliveGreen}{</v>
      </c>
      <c r="H13" s="8" t="n">
        <f aca="false">(E13-C13)/C13</f>
        <v>-0.824324324324324</v>
      </c>
      <c r="I13" s="0" t="str">
        <f aca="false">I12</f>
        <v>}\\</v>
      </c>
    </row>
    <row r="14" customFormat="false" ht="15" hidden="false" customHeight="false" outlineLevel="0" collapsed="false">
      <c r="A14" s="0" t="s">
        <v>106</v>
      </c>
      <c r="B14" s="0" t="s">
        <v>91</v>
      </c>
      <c r="C14" s="7" t="n">
        <f aca="false">Results!B16</f>
        <v>33036</v>
      </c>
      <c r="D14" s="0" t="s">
        <v>91</v>
      </c>
      <c r="E14" s="7" t="n">
        <f aca="false">Results!B24</f>
        <v>24192</v>
      </c>
      <c r="F14" s="0" t="s">
        <v>91</v>
      </c>
      <c r="G14" s="0" t="str">
        <f aca="false">IF(H14&gt;0,"\textcolor{red}{+","\textcolor{OliveGreen}{")</f>
        <v>\textcolor{OliveGreen}{</v>
      </c>
      <c r="H14" s="8" t="n">
        <f aca="false">(E14-C14)/C14</f>
        <v>-0.267707954958227</v>
      </c>
      <c r="I14" s="0" t="str">
        <f aca="false">I13</f>
        <v>}\\</v>
      </c>
    </row>
    <row r="15" customFormat="false" ht="15" hidden="false" customHeight="false" outlineLevel="0" collapsed="false">
      <c r="A15" s="0" t="s">
        <v>107</v>
      </c>
      <c r="B15" s="0" t="s">
        <v>91</v>
      </c>
      <c r="C15" s="7" t="n">
        <f aca="false">Results!E16</f>
        <v>74321</v>
      </c>
      <c r="D15" s="0" t="s">
        <v>91</v>
      </c>
      <c r="E15" s="7" t="n">
        <f aca="false">Results!E24</f>
        <v>54985</v>
      </c>
      <c r="F15" s="0" t="s">
        <v>91</v>
      </c>
      <c r="G15" s="0" t="str">
        <f aca="false">IF(H15&gt;0,"\textcolor{red}{+","\textcolor{OliveGreen}{")</f>
        <v>\textcolor{OliveGreen}{</v>
      </c>
      <c r="H15" s="8" t="n">
        <f aca="false">(E15-C15)/C15</f>
        <v>-0.260168727546723</v>
      </c>
      <c r="I15" s="0" t="str">
        <f aca="false">I14</f>
        <v>}\\</v>
      </c>
    </row>
    <row r="16" customFormat="false" ht="15" hidden="false" customHeight="false" outlineLevel="0" collapsed="false">
      <c r="A16" s="0" t="s">
        <v>108</v>
      </c>
      <c r="B16" s="0" t="s">
        <v>91</v>
      </c>
      <c r="C16" s="7" t="n">
        <f aca="false">Results!D16</f>
        <v>4</v>
      </c>
      <c r="D16" s="0" t="s">
        <v>91</v>
      </c>
      <c r="E16" s="7" t="n">
        <f aca="false">Results!D24</f>
        <v>4</v>
      </c>
      <c r="F16" s="0" t="s">
        <v>91</v>
      </c>
      <c r="G16" s="0" t="str">
        <f aca="false">IF(H16&gt;0,"\textcolor{red}{+","\textcolor{OliveGreen}{")</f>
        <v>\textcolor{OliveGreen}{</v>
      </c>
      <c r="H16" s="8" t="n">
        <f aca="false">(E16-C16)/C16</f>
        <v>0</v>
      </c>
      <c r="I16" s="0" t="str">
        <f aca="false">I15</f>
        <v>}\\</v>
      </c>
    </row>
    <row r="17" customFormat="false" ht="15" hidden="false" customHeight="false" outlineLevel="0" collapsed="false">
      <c r="A17" s="0" t="s">
        <v>109</v>
      </c>
      <c r="B17" s="0" t="s">
        <v>91</v>
      </c>
      <c r="C17" s="7" t="n">
        <f aca="false">Results!F16</f>
        <v>192.42</v>
      </c>
      <c r="D17" s="0" t="s">
        <v>91</v>
      </c>
      <c r="E17" s="7" t="n">
        <f aca="false">Results!F24</f>
        <v>219.88</v>
      </c>
      <c r="F17" s="0" t="s">
        <v>91</v>
      </c>
      <c r="G17" s="0" t="str">
        <f aca="false">IF(H17&gt;0,"\textcolor{OliveGreen}{+","\textcolor{red}{")</f>
        <v>\textcolor{OliveGreen}{+</v>
      </c>
      <c r="H17" s="8" t="n">
        <f aca="false">(E17-C17)/C17</f>
        <v>0.142708658143644</v>
      </c>
      <c r="I17" s="0" t="str">
        <f aca="false">I16</f>
        <v>}\\</v>
      </c>
    </row>
    <row r="18" customFormat="false" ht="15" hidden="false" customHeight="false" outlineLevel="0" collapsed="false">
      <c r="A18" s="0" t="s">
        <v>104</v>
      </c>
      <c r="B18" s="0" t="s">
        <v>91</v>
      </c>
      <c r="C18" s="15" t="n">
        <f aca="false">C6/(C$17)</f>
        <v>15.5129404427814</v>
      </c>
      <c r="D18" s="0" t="s">
        <v>91</v>
      </c>
      <c r="E18" s="15" t="n">
        <f aca="false">E6/E$17</f>
        <v>10.0918682917955</v>
      </c>
      <c r="F18" s="0" t="s">
        <v>91</v>
      </c>
      <c r="G18" s="0" t="str">
        <f aca="false">IF(H18&gt;0,"\textcolor{red}{+","\textcolor{OliveGreen}{")</f>
        <v>\textcolor{OliveGreen}{</v>
      </c>
      <c r="H18" s="8" t="n">
        <f aca="false">(E18-C18)/C18</f>
        <v>-0.349454841974106</v>
      </c>
      <c r="I18" s="0" t="str">
        <f aca="false">I15</f>
        <v>}\\</v>
      </c>
    </row>
    <row r="19" customFormat="false" ht="15" hidden="false" customHeight="false" outlineLevel="0" collapsed="false">
      <c r="A19" s="0" t="s">
        <v>105</v>
      </c>
      <c r="B19" s="0" t="s">
        <v>91</v>
      </c>
      <c r="C19" s="15" t="n">
        <f aca="false">C7/(C$17)</f>
        <v>7.69150815923501</v>
      </c>
      <c r="D19" s="0" t="s">
        <v>91</v>
      </c>
      <c r="E19" s="15" t="n">
        <f aca="false">E7/E$17</f>
        <v>5.45752228488266</v>
      </c>
      <c r="F19" s="0" t="s">
        <v>91</v>
      </c>
      <c r="G19" s="0" t="str">
        <f aca="false">IF(H19&gt;0,"\textcolor{red}{+","\textcolor{OliveGreen}{")</f>
        <v>\textcolor{OliveGreen}{</v>
      </c>
      <c r="H19" s="8" t="n">
        <f aca="false">(E19-C19)/C19</f>
        <v>-0.290448352664107</v>
      </c>
      <c r="I19" s="0" t="str">
        <f aca="false">I18</f>
        <v>}\\</v>
      </c>
    </row>
    <row r="20" s="12" customFormat="true" ht="15" hidden="false" customHeight="false" outlineLevel="0" collapsed="false">
      <c r="A20" s="9" t="s">
        <v>90</v>
      </c>
      <c r="B20" s="9" t="s">
        <v>91</v>
      </c>
      <c r="C20" s="10" t="str">
        <f aca="false">Cycle_estimation!A21</f>
        <v>3KEM_0d</v>
      </c>
      <c r="D20" s="9" t="s">
        <v>91</v>
      </c>
      <c r="E20" s="10" t="str">
        <f aca="false">Cycle_estimation_with_XEf!A21</f>
        <v>3KEM_5d</v>
      </c>
      <c r="F20" s="9" t="s">
        <v>91</v>
      </c>
      <c r="H20" s="11" t="s">
        <v>92</v>
      </c>
      <c r="I20" s="9"/>
    </row>
    <row r="21" customFormat="false" ht="15" hidden="false" customHeight="false" outlineLevel="0" collapsed="false">
      <c r="A21" s="13" t="s">
        <v>93</v>
      </c>
      <c r="B21" s="0" t="s">
        <v>91</v>
      </c>
      <c r="C21" s="7" t="n">
        <v>786</v>
      </c>
      <c r="D21" s="0" t="s">
        <v>91</v>
      </c>
      <c r="E21" s="7" t="n">
        <v>756</v>
      </c>
      <c r="F21" s="0" t="s">
        <v>91</v>
      </c>
      <c r="G21" s="0" t="str">
        <f aca="false">IF(H21&gt;0,"\textcolor{red}{+","\textcolor{OliveGreen}{")</f>
        <v>\textcolor{OliveGreen}{</v>
      </c>
      <c r="H21" s="8" t="n">
        <f aca="false">(E21-C21)/C21</f>
        <v>-0.0381679389312977</v>
      </c>
      <c r="I21" s="0" t="s">
        <v>94</v>
      </c>
    </row>
    <row r="22" customFormat="false" ht="15" hidden="false" customHeight="false" outlineLevel="0" collapsed="false">
      <c r="A22" s="13" t="s">
        <v>95</v>
      </c>
      <c r="B22" s="0" t="s">
        <v>91</v>
      </c>
      <c r="C22" s="7" t="n">
        <v>909</v>
      </c>
      <c r="D22" s="0" t="s">
        <v>91</v>
      </c>
      <c r="E22" s="7" t="n">
        <v>780</v>
      </c>
      <c r="F22" s="0" t="s">
        <v>91</v>
      </c>
      <c r="G22" s="0" t="str">
        <f aca="false">IF(H22&gt;0,"\textcolor{red}{+","\textcolor{OliveGreen}{")</f>
        <v>\textcolor{OliveGreen}{</v>
      </c>
      <c r="H22" s="8" t="n">
        <f aca="false">(E22-C22)/C22</f>
        <v>-0.141914191419142</v>
      </c>
      <c r="I22" s="0" t="s">
        <v>94</v>
      </c>
    </row>
    <row r="23" customFormat="false" ht="15" hidden="false" customHeight="false" outlineLevel="0" collapsed="false">
      <c r="A23" s="13" t="s">
        <v>96</v>
      </c>
      <c r="B23" s="0" t="s">
        <v>91</v>
      </c>
      <c r="C23" s="7" t="n">
        <v>24</v>
      </c>
      <c r="D23" s="0" t="s">
        <v>91</v>
      </c>
      <c r="E23" s="7" t="n">
        <v>24</v>
      </c>
      <c r="F23" s="0" t="s">
        <v>91</v>
      </c>
      <c r="G23" s="0" t="str">
        <f aca="false">IF(H23&gt;0,"\textcolor{red}{+","\textcolor{OliveGreen}{")</f>
        <v>\textcolor{OliveGreen}{</v>
      </c>
      <c r="H23" s="8" t="n">
        <f aca="false">(E23-C23)/C23</f>
        <v>0</v>
      </c>
      <c r="I23" s="0" t="s">
        <v>94</v>
      </c>
    </row>
    <row r="24" customFormat="false" ht="15" hidden="false" customHeight="false" outlineLevel="0" collapsed="false">
      <c r="A24" s="13" t="s">
        <v>97</v>
      </c>
      <c r="B24" s="0" t="s">
        <v>91</v>
      </c>
      <c r="C24" s="7" t="n">
        <v>981</v>
      </c>
      <c r="D24" s="0" t="s">
        <v>91</v>
      </c>
      <c r="E24" s="7" t="n">
        <v>859</v>
      </c>
      <c r="F24" s="0" t="s">
        <v>91</v>
      </c>
      <c r="G24" s="0" t="str">
        <f aca="false">IF(H24&gt;0,"\textcolor{red}{+","\textcolor{OliveGreen}{")</f>
        <v>\textcolor{OliveGreen}{</v>
      </c>
      <c r="H24" s="8" t="n">
        <f aca="false">(E24-C24)/C24</f>
        <v>-0.124362895005097</v>
      </c>
      <c r="I24" s="0" t="s">
        <v>94</v>
      </c>
    </row>
    <row r="25" customFormat="false" ht="15" hidden="false" customHeight="false" outlineLevel="0" collapsed="false">
      <c r="A25" s="0" t="s">
        <v>98</v>
      </c>
      <c r="B25" s="0" t="s">
        <v>91</v>
      </c>
      <c r="C25" s="7" t="n">
        <f aca="false">Cycle_estimation!B21</f>
        <v>3862</v>
      </c>
      <c r="D25" s="0" t="s">
        <v>91</v>
      </c>
      <c r="E25" s="7" t="n">
        <f aca="false">Cycle_estimation_with_XEf!B21</f>
        <v>3453</v>
      </c>
      <c r="F25" s="0" t="s">
        <v>91</v>
      </c>
      <c r="G25" s="0" t="str">
        <f aca="false">IF(H25&gt;0,"\textcolor{red}{+","\textcolor{OliveGreen}{")</f>
        <v>\textcolor{OliveGreen}{</v>
      </c>
      <c r="H25" s="8" t="n">
        <f aca="false">(E25-C25)/C25</f>
        <v>-0.105903676851372</v>
      </c>
      <c r="I25" s="0" t="s">
        <v>94</v>
      </c>
    </row>
    <row r="26" customFormat="false" ht="15" hidden="false" customHeight="false" outlineLevel="0" collapsed="false">
      <c r="A26" s="0" t="s">
        <v>99</v>
      </c>
      <c r="B26" s="0" t="s">
        <v>91</v>
      </c>
      <c r="C26" s="7" t="n">
        <f aca="false">Cycle_estimation!C21</f>
        <v>1901</v>
      </c>
      <c r="D26" s="0" t="s">
        <v>91</v>
      </c>
      <c r="E26" s="7" t="n">
        <f aca="false">Cycle_estimation_with_XEf!C21</f>
        <v>1831</v>
      </c>
      <c r="F26" s="0" t="s">
        <v>91</v>
      </c>
      <c r="G26" s="0" t="str">
        <f aca="false">IF(H26&gt;0,"\textcolor{red}{+","\textcolor{OliveGreen}{")</f>
        <v>\textcolor{OliveGreen}{</v>
      </c>
      <c r="H26" s="8" t="n">
        <f aca="false">(E26-C26)/C26</f>
        <v>-0.0368227248816412</v>
      </c>
      <c r="I26" s="0" t="s">
        <v>94</v>
      </c>
    </row>
    <row r="27" customFormat="false" ht="15" hidden="false" customHeight="false" outlineLevel="0" collapsed="false">
      <c r="A27" s="0" t="s">
        <v>110</v>
      </c>
      <c r="B27" s="0" t="s">
        <v>91</v>
      </c>
      <c r="C27" s="7" t="n">
        <v>66413</v>
      </c>
      <c r="D27" s="0" t="s">
        <v>91</v>
      </c>
      <c r="E27" s="14"/>
      <c r="F27" s="0" t="s">
        <v>91</v>
      </c>
      <c r="G27" s="0" t="str">
        <f aca="false">IF(H27&gt;0,"\textcolor{red}{+","\textcolor{OliveGreen}{")</f>
        <v>\textcolor{OliveGreen}{</v>
      </c>
      <c r="H27" s="8" t="n">
        <f aca="false">(E27-C27)/C27</f>
        <v>-1</v>
      </c>
      <c r="I27" s="0" t="s">
        <v>94</v>
      </c>
    </row>
    <row r="28" customFormat="false" ht="15" hidden="false" customHeight="false" outlineLevel="0" collapsed="false">
      <c r="A28" s="0" t="s">
        <v>111</v>
      </c>
      <c r="B28" s="0" t="s">
        <v>91</v>
      </c>
      <c r="C28" s="7" t="n">
        <v>12985</v>
      </c>
      <c r="D28" s="0" t="s">
        <v>91</v>
      </c>
      <c r="E28" s="14"/>
      <c r="F28" s="0" t="s">
        <v>91</v>
      </c>
      <c r="G28" s="0" t="str">
        <f aca="false">IF(H28&gt;0,"\textcolor{red}{+","\textcolor{OliveGreen}{")</f>
        <v>\textcolor{OliveGreen}{</v>
      </c>
      <c r="H28" s="8" t="n">
        <f aca="false">(E28-C28)/C28</f>
        <v>-1</v>
      </c>
      <c r="I28" s="0" t="s">
        <v>94</v>
      </c>
    </row>
    <row r="29" customFormat="false" ht="15" hidden="false" customHeight="false" outlineLevel="0" collapsed="false">
      <c r="A29" s="0" t="s">
        <v>112</v>
      </c>
      <c r="B29" s="0" t="s">
        <v>91</v>
      </c>
      <c r="C29" s="7" t="n">
        <v>2</v>
      </c>
      <c r="D29" s="0" t="s">
        <v>91</v>
      </c>
      <c r="E29" s="14"/>
      <c r="F29" s="0" t="s">
        <v>91</v>
      </c>
      <c r="G29" s="0" t="str">
        <f aca="false">IF(H29&gt;0,"\textcolor{red}{+","\textcolor{OliveGreen}{")</f>
        <v>\textcolor{OliveGreen}{</v>
      </c>
      <c r="H29" s="8" t="n">
        <f aca="false">(E29-C29)/C29</f>
        <v>-1</v>
      </c>
      <c r="I29" s="0" t="s">
        <v>94</v>
      </c>
    </row>
    <row r="30" customFormat="false" ht="15" hidden="false" customHeight="false" outlineLevel="0" collapsed="false">
      <c r="A30" s="0" t="s">
        <v>113</v>
      </c>
      <c r="B30" s="0" t="s">
        <v>91</v>
      </c>
      <c r="C30" s="7" t="n">
        <v>240</v>
      </c>
      <c r="D30" s="0" t="s">
        <v>91</v>
      </c>
      <c r="E30" s="14"/>
      <c r="F30" s="0" t="s">
        <v>91</v>
      </c>
      <c r="G30" s="0" t="str">
        <f aca="false">IF(H30&gt;0,"\textcolor{OliveGreen}{+","\textcolor{red}{")</f>
        <v>\textcolor{red}{</v>
      </c>
      <c r="H30" s="8" t="n">
        <f aca="false">(E30-C30)/C30</f>
        <v>-1</v>
      </c>
      <c r="I30" s="0" t="s">
        <v>94</v>
      </c>
    </row>
    <row r="31" customFormat="false" ht="15" hidden="false" customHeight="false" outlineLevel="0" collapsed="false">
      <c r="A31" s="0" t="s">
        <v>104</v>
      </c>
      <c r="B31" s="0" t="s">
        <v>91</v>
      </c>
      <c r="C31" s="15" t="n">
        <f aca="false">C25/C$30</f>
        <v>16.0916666666667</v>
      </c>
      <c r="D31" s="0" t="s">
        <v>91</v>
      </c>
      <c r="E31" s="16" t="n">
        <v>1</v>
      </c>
      <c r="F31" s="0" t="s">
        <v>91</v>
      </c>
      <c r="G31" s="0" t="str">
        <f aca="false">IF(H31&gt;0,"\textcolor{red}{+","\textcolor{OliveGreen}{")</f>
        <v>\textcolor{OliveGreen}{</v>
      </c>
      <c r="H31" s="8" t="n">
        <f aca="false">(E31-C31)/C31</f>
        <v>-0.937856033143449</v>
      </c>
      <c r="I31" s="0" t="s">
        <v>94</v>
      </c>
    </row>
    <row r="32" customFormat="false" ht="15" hidden="false" customHeight="false" outlineLevel="0" collapsed="false">
      <c r="A32" s="0" t="s">
        <v>105</v>
      </c>
      <c r="B32" s="0" t="s">
        <v>91</v>
      </c>
      <c r="C32" s="15" t="n">
        <f aca="false">C26/C$30</f>
        <v>7.92083333333333</v>
      </c>
      <c r="D32" s="0" t="s">
        <v>91</v>
      </c>
      <c r="E32" s="16" t="n">
        <v>1</v>
      </c>
      <c r="F32" s="0" t="s">
        <v>91</v>
      </c>
      <c r="G32" s="0" t="str">
        <f aca="false">IF(H32&gt;0,"\textcolor{red}{+","\textcolor{OliveGreen}{")</f>
        <v>\textcolor{OliveGreen}{</v>
      </c>
      <c r="H32" s="8" t="n">
        <f aca="false">(E32-C32)/C32</f>
        <v>-0.873750657548658</v>
      </c>
      <c r="I32" s="0" t="s">
        <v>94</v>
      </c>
    </row>
    <row r="33" customFormat="false" ht="15" hidden="false" customHeight="false" outlineLevel="0" collapsed="false">
      <c r="A33" s="0" t="s">
        <v>106</v>
      </c>
      <c r="B33" s="0" t="s">
        <v>91</v>
      </c>
      <c r="C33" s="7" t="n">
        <f aca="false">Results!B17</f>
        <v>46466</v>
      </c>
      <c r="D33" s="0" t="s">
        <v>91</v>
      </c>
      <c r="E33" s="7" t="n">
        <f aca="false">Results!B25</f>
        <v>40885</v>
      </c>
      <c r="F33" s="0" t="s">
        <v>91</v>
      </c>
      <c r="G33" s="0" t="str">
        <f aca="false">IF(H33&gt;0,"\textcolor{red}{+","\textcolor{OliveGreen}{")</f>
        <v>\textcolor{OliveGreen}{</v>
      </c>
      <c r="H33" s="8" t="n">
        <f aca="false">(E33-C33)/C33</f>
        <v>-0.120109327250032</v>
      </c>
      <c r="I33" s="0" t="s">
        <v>94</v>
      </c>
    </row>
    <row r="34" customFormat="false" ht="15" hidden="false" customHeight="false" outlineLevel="0" collapsed="false">
      <c r="A34" s="0" t="s">
        <v>107</v>
      </c>
      <c r="B34" s="0" t="s">
        <v>91</v>
      </c>
      <c r="C34" s="7" t="n">
        <f aca="false">Results!E17</f>
        <v>107014</v>
      </c>
      <c r="D34" s="0" t="s">
        <v>91</v>
      </c>
      <c r="E34" s="7" t="n">
        <f aca="false">Results!E25</f>
        <v>97090</v>
      </c>
      <c r="F34" s="0" t="s">
        <v>91</v>
      </c>
      <c r="G34" s="0" t="str">
        <f aca="false">IF(H34&gt;0,"\textcolor{red}{+","\textcolor{OliveGreen}{")</f>
        <v>\textcolor{OliveGreen}{</v>
      </c>
      <c r="H34" s="8" t="n">
        <f aca="false">(E34-C34)/C34</f>
        <v>-0.0927355299306633</v>
      </c>
      <c r="I34" s="0" t="s">
        <v>94</v>
      </c>
    </row>
    <row r="35" customFormat="false" ht="15" hidden="false" customHeight="false" outlineLevel="0" collapsed="false">
      <c r="A35" s="0" t="s">
        <v>108</v>
      </c>
      <c r="B35" s="0" t="s">
        <v>91</v>
      </c>
      <c r="C35" s="7" t="n">
        <f aca="false">Results!D17</f>
        <v>4</v>
      </c>
      <c r="D35" s="0" t="s">
        <v>91</v>
      </c>
      <c r="E35" s="7" t="n">
        <f aca="false">Results!D25</f>
        <v>4</v>
      </c>
      <c r="F35" s="0" t="s">
        <v>91</v>
      </c>
      <c r="G35" s="0" t="str">
        <f aca="false">IF(H35&gt;0,"\textcolor{red}{+","\textcolor{OliveGreen}{")</f>
        <v>\textcolor{OliveGreen}{</v>
      </c>
      <c r="H35" s="8" t="n">
        <f aca="false">(E35-C35)/C35</f>
        <v>0</v>
      </c>
      <c r="I35" s="0" t="s">
        <v>94</v>
      </c>
    </row>
    <row r="36" customFormat="false" ht="15" hidden="false" customHeight="false" outlineLevel="0" collapsed="false">
      <c r="A36" s="0" t="s">
        <v>109</v>
      </c>
      <c r="B36" s="0" t="s">
        <v>91</v>
      </c>
      <c r="C36" s="7" t="n">
        <f aca="false">Results!F17</f>
        <v>177.34</v>
      </c>
      <c r="D36" s="0" t="s">
        <v>91</v>
      </c>
      <c r="E36" s="7" t="n">
        <f aca="false">Results!F25</f>
        <v>193.01</v>
      </c>
      <c r="F36" s="0" t="s">
        <v>91</v>
      </c>
      <c r="G36" s="0" t="str">
        <f aca="false">IF(H36&gt;0,"\textcolor{OliveGreen}{+","\textcolor{red}{")</f>
        <v>\textcolor{OliveGreen}{+</v>
      </c>
      <c r="H36" s="8" t="n">
        <f aca="false">(E36-C36)/C36</f>
        <v>0.0883613397992556</v>
      </c>
      <c r="I36" s="0" t="s">
        <v>94</v>
      </c>
    </row>
    <row r="37" customFormat="false" ht="15" hidden="false" customHeight="false" outlineLevel="0" collapsed="false">
      <c r="A37" s="0" t="s">
        <v>104</v>
      </c>
      <c r="B37" s="0" t="s">
        <v>91</v>
      </c>
      <c r="C37" s="15" t="n">
        <f aca="false">C25/(C$36)</f>
        <v>21.7773767903462</v>
      </c>
      <c r="D37" s="0" t="s">
        <v>91</v>
      </c>
      <c r="E37" s="15" t="n">
        <f aca="false">E25/E$36</f>
        <v>17.8902647531216</v>
      </c>
      <c r="F37" s="0" t="s">
        <v>91</v>
      </c>
      <c r="G37" s="0" t="str">
        <f aca="false">IF(H37&gt;0,"\textcolor{red}{+","\textcolor{OliveGreen}{")</f>
        <v>\textcolor{OliveGreen}{</v>
      </c>
      <c r="H37" s="8" t="n">
        <f aca="false">(E37-C37)/C37</f>
        <v>-0.178493124982241</v>
      </c>
      <c r="I37" s="0" t="s">
        <v>94</v>
      </c>
    </row>
    <row r="38" customFormat="false" ht="15" hidden="false" customHeight="false" outlineLevel="0" collapsed="false">
      <c r="A38" s="0" t="s">
        <v>105</v>
      </c>
      <c r="B38" s="0" t="s">
        <v>91</v>
      </c>
      <c r="C38" s="15" t="n">
        <f aca="false">C26/(C$36)</f>
        <v>10.7195218224879</v>
      </c>
      <c r="D38" s="0" t="s">
        <v>91</v>
      </c>
      <c r="E38" s="15" t="n">
        <f aca="false">E26/E$36</f>
        <v>9.48655510077198</v>
      </c>
      <c r="F38" s="0" t="s">
        <v>91</v>
      </c>
      <c r="G38" s="0" t="str">
        <f aca="false">IF(H38&gt;0,"\textcolor{red}{+","\textcolor{OliveGreen}{")</f>
        <v>\textcolor{OliveGreen}{</v>
      </c>
      <c r="H38" s="8" t="n">
        <f aca="false">(E38-C38)/C38</f>
        <v>-0.115020683024249</v>
      </c>
      <c r="I38" s="0" t="s">
        <v>94</v>
      </c>
    </row>
    <row r="39" s="12" customFormat="true" ht="15" hidden="false" customHeight="false" outlineLevel="0" collapsed="false">
      <c r="A39" s="9" t="s">
        <v>90</v>
      </c>
      <c r="B39" s="9" t="s">
        <v>91</v>
      </c>
      <c r="C39" s="10" t="str">
        <f aca="false">Cycle_estimation!A22</f>
        <v>5KEM_0d</v>
      </c>
      <c r="D39" s="9" t="s">
        <v>91</v>
      </c>
      <c r="E39" s="10" t="str">
        <f aca="false">Cycle_estimation_with_XEf!A22</f>
        <v>5KEM_5d</v>
      </c>
      <c r="F39" s="9" t="s">
        <v>91</v>
      </c>
      <c r="H39" s="11"/>
      <c r="I39" s="9" t="str">
        <f aca="false">I28</f>
        <v>}\\</v>
      </c>
    </row>
    <row r="40" customFormat="false" ht="15" hidden="false" customHeight="false" outlineLevel="0" collapsed="false">
      <c r="A40" s="13" t="s">
        <v>93</v>
      </c>
      <c r="B40" s="0" t="s">
        <v>91</v>
      </c>
      <c r="C40" s="7" t="n">
        <v>1018</v>
      </c>
      <c r="D40" s="0" t="s">
        <v>91</v>
      </c>
      <c r="E40" s="7" t="n">
        <v>940</v>
      </c>
      <c r="F40" s="0" t="s">
        <v>91</v>
      </c>
      <c r="G40" s="0" t="str">
        <f aca="false">IF(H40&gt;0,"\textcolor{red}{+","\textcolor{OliveGreen}{")</f>
        <v>\textcolor{OliveGreen}{</v>
      </c>
      <c r="H40" s="8" t="n">
        <f aca="false">(E40-C40)/C40</f>
        <v>-0.0766208251473477</v>
      </c>
      <c r="I40" s="0" t="s">
        <v>94</v>
      </c>
    </row>
    <row r="41" customFormat="false" ht="15" hidden="false" customHeight="false" outlineLevel="0" collapsed="false">
      <c r="A41" s="13" t="s">
        <v>95</v>
      </c>
      <c r="B41" s="0" t="s">
        <v>91</v>
      </c>
      <c r="C41" s="7" t="n">
        <v>1176</v>
      </c>
      <c r="D41" s="0" t="s">
        <v>91</v>
      </c>
      <c r="E41" s="7" t="n">
        <v>972</v>
      </c>
      <c r="F41" s="0" t="s">
        <v>91</v>
      </c>
      <c r="G41" s="0" t="str">
        <f aca="false">IF(H41&gt;0,"\textcolor{red}{+","\textcolor{OliveGreen}{")</f>
        <v>\textcolor{OliveGreen}{</v>
      </c>
      <c r="H41" s="8" t="n">
        <f aca="false">(E41-C41)/C41</f>
        <v>-0.173469387755102</v>
      </c>
      <c r="I41" s="0" t="s">
        <v>94</v>
      </c>
    </row>
    <row r="42" customFormat="false" ht="15" hidden="false" customHeight="false" outlineLevel="0" collapsed="false">
      <c r="A42" s="13" t="s">
        <v>96</v>
      </c>
      <c r="B42" s="0" t="s">
        <v>91</v>
      </c>
      <c r="C42" s="7" t="n">
        <v>32</v>
      </c>
      <c r="D42" s="0" t="s">
        <v>91</v>
      </c>
      <c r="E42" s="7" t="n">
        <v>32</v>
      </c>
      <c r="F42" s="0" t="s">
        <v>91</v>
      </c>
      <c r="G42" s="0" t="str">
        <f aca="false">IF(H42&gt;0,"\textcolor{red}{+","\textcolor{OliveGreen}{")</f>
        <v>\textcolor{OliveGreen}{</v>
      </c>
      <c r="H42" s="8" t="n">
        <f aca="false">(E42-C42)/C42</f>
        <v>0</v>
      </c>
      <c r="I42" s="0" t="s">
        <v>94</v>
      </c>
    </row>
    <row r="43" customFormat="false" ht="15" hidden="false" customHeight="false" outlineLevel="0" collapsed="false">
      <c r="A43" s="13" t="s">
        <v>97</v>
      </c>
      <c r="B43" s="0" t="s">
        <v>91</v>
      </c>
      <c r="C43" s="7" t="n">
        <v>1274</v>
      </c>
      <c r="D43" s="0" t="s">
        <v>91</v>
      </c>
      <c r="E43" s="7" t="n">
        <v>1063</v>
      </c>
      <c r="F43" s="0" t="s">
        <v>91</v>
      </c>
      <c r="G43" s="0" t="str">
        <f aca="false">IF(H43&gt;0,"\textcolor{red}{+","\textcolor{OliveGreen}{")</f>
        <v>\textcolor{OliveGreen}{</v>
      </c>
      <c r="H43" s="8" t="n">
        <f aca="false">(E43-C43)/C43</f>
        <v>-0.165620094191523</v>
      </c>
      <c r="I43" s="0" t="s">
        <v>94</v>
      </c>
    </row>
    <row r="44" customFormat="false" ht="15" hidden="false" customHeight="false" outlineLevel="0" collapsed="false">
      <c r="A44" s="0" t="s">
        <v>98</v>
      </c>
      <c r="B44" s="0" t="s">
        <v>91</v>
      </c>
      <c r="C44" s="7" t="n">
        <f aca="false">Cycle_estimation!B22</f>
        <v>5031</v>
      </c>
      <c r="D44" s="0" t="s">
        <v>91</v>
      </c>
      <c r="E44" s="7" t="n">
        <f aca="false">Cycle_estimation_with_XEf!B22</f>
        <v>4279</v>
      </c>
      <c r="F44" s="0" t="s">
        <v>91</v>
      </c>
      <c r="G44" s="0" t="str">
        <f aca="false">IF(H44&gt;0,"\textcolor{red}{+","\textcolor{OliveGreen}{")</f>
        <v>\textcolor{OliveGreen}{</v>
      </c>
      <c r="H44" s="8" t="n">
        <f aca="false">(E44-C44)/C44</f>
        <v>-0.149473265752336</v>
      </c>
      <c r="I44" s="0" t="str">
        <f aca="false">I39</f>
        <v>}\\</v>
      </c>
    </row>
    <row r="45" customFormat="false" ht="15" hidden="false" customHeight="false" outlineLevel="0" collapsed="false">
      <c r="A45" s="0" t="s">
        <v>99</v>
      </c>
      <c r="B45" s="0" t="s">
        <v>91</v>
      </c>
      <c r="C45" s="7" t="n">
        <f aca="false">Cycle_estimation!C22</f>
        <v>2450</v>
      </c>
      <c r="D45" s="0" t="s">
        <v>91</v>
      </c>
      <c r="E45" s="7" t="n">
        <f aca="false">Cycle_estimation_with_XEf!C22</f>
        <v>2252</v>
      </c>
      <c r="F45" s="0" t="s">
        <v>91</v>
      </c>
      <c r="G45" s="0" t="str">
        <f aca="false">IF(H45&gt;0,"\textcolor{red}{+","\textcolor{OliveGreen}{")</f>
        <v>\textcolor{OliveGreen}{</v>
      </c>
      <c r="H45" s="8" t="n">
        <f aca="false">(E45-C45)/C45</f>
        <v>-0.0808163265306122</v>
      </c>
      <c r="I45" s="0" t="str">
        <f aca="false">I44</f>
        <v>}\\</v>
      </c>
    </row>
    <row r="46" customFormat="false" ht="15" hidden="false" customHeight="false" outlineLevel="0" collapsed="false">
      <c r="A46" s="0" t="s">
        <v>110</v>
      </c>
      <c r="B46" s="0" t="s">
        <v>91</v>
      </c>
      <c r="C46" s="7" t="n">
        <v>98063</v>
      </c>
      <c r="D46" s="0" t="s">
        <v>91</v>
      </c>
      <c r="E46" s="14"/>
      <c r="F46" s="0" t="s">
        <v>91</v>
      </c>
      <c r="G46" s="0" t="str">
        <f aca="false">IF(H46&gt;0,"\textcolor{red}{+","\textcolor{OliveGreen}{")</f>
        <v>\textcolor{OliveGreen}{</v>
      </c>
      <c r="H46" s="8" t="n">
        <f aca="false">(E46-C46)/C46</f>
        <v>-1</v>
      </c>
      <c r="I46" s="0" t="str">
        <f aca="false">I45</f>
        <v>}\\</v>
      </c>
    </row>
    <row r="47" customFormat="false" ht="15" hidden="false" customHeight="false" outlineLevel="0" collapsed="false">
      <c r="A47" s="0" t="s">
        <v>111</v>
      </c>
      <c r="B47" s="0" t="s">
        <v>91</v>
      </c>
      <c r="C47" s="7" t="n">
        <v>17561</v>
      </c>
      <c r="D47" s="0" t="s">
        <v>91</v>
      </c>
      <c r="E47" s="14"/>
      <c r="F47" s="0" t="s">
        <v>91</v>
      </c>
      <c r="G47" s="0" t="str">
        <f aca="false">IF(H47&gt;0,"\textcolor{red}{+","\textcolor{OliveGreen}{")</f>
        <v>\textcolor{OliveGreen}{</v>
      </c>
      <c r="H47" s="8" t="n">
        <f aca="false">(E47-C47)/C47</f>
        <v>-1</v>
      </c>
      <c r="I47" s="0" t="str">
        <f aca="false">I46</f>
        <v>}\\</v>
      </c>
    </row>
    <row r="48" customFormat="false" ht="15" hidden="false" customHeight="false" outlineLevel="0" collapsed="false">
      <c r="A48" s="0" t="s">
        <v>112</v>
      </c>
      <c r="B48" s="0" t="s">
        <v>91</v>
      </c>
      <c r="C48" s="7" t="n">
        <v>2</v>
      </c>
      <c r="D48" s="0" t="s">
        <v>91</v>
      </c>
      <c r="E48" s="14"/>
      <c r="F48" s="0" t="s">
        <v>91</v>
      </c>
      <c r="G48" s="0" t="str">
        <f aca="false">IF(H48&gt;0,"\textcolor{red}{+","\textcolor{OliveGreen}{")</f>
        <v>\textcolor{OliveGreen}{</v>
      </c>
      <c r="H48" s="8" t="n">
        <f aca="false">(E48-C48)/C48</f>
        <v>-1</v>
      </c>
      <c r="I48" s="0" t="str">
        <f aca="false">I47</f>
        <v>}\\</v>
      </c>
    </row>
    <row r="49" customFormat="false" ht="15" hidden="false" customHeight="false" outlineLevel="0" collapsed="false">
      <c r="A49" s="0" t="s">
        <v>113</v>
      </c>
      <c r="B49" s="0" t="s">
        <v>91</v>
      </c>
      <c r="C49" s="7" t="n">
        <v>220</v>
      </c>
      <c r="D49" s="0" t="s">
        <v>91</v>
      </c>
      <c r="E49" s="14"/>
      <c r="F49" s="0" t="s">
        <v>91</v>
      </c>
      <c r="G49" s="0" t="str">
        <f aca="false">IF(H49&gt;0,"\textcolor{OliveGreen}{+","\textcolor{red}{")</f>
        <v>\textcolor{red}{</v>
      </c>
      <c r="H49" s="8" t="n">
        <f aca="false">(E49-C49)/C49</f>
        <v>-1</v>
      </c>
      <c r="I49" s="0" t="str">
        <f aca="false">I48</f>
        <v>}\\</v>
      </c>
    </row>
    <row r="50" customFormat="false" ht="15" hidden="false" customHeight="false" outlineLevel="0" collapsed="false">
      <c r="A50" s="0" t="s">
        <v>104</v>
      </c>
      <c r="B50" s="0" t="s">
        <v>91</v>
      </c>
      <c r="C50" s="15" t="n">
        <f aca="false">C44/C$49</f>
        <v>22.8681818181818</v>
      </c>
      <c r="D50" s="0" t="s">
        <v>91</v>
      </c>
      <c r="E50" s="16" t="n">
        <v>1</v>
      </c>
      <c r="F50" s="0" t="s">
        <v>91</v>
      </c>
      <c r="G50" s="0" t="str">
        <f aca="false">IF(H50&gt;0,"\textcolor{red}{+","\textcolor{OliveGreen}{")</f>
        <v>\textcolor{OliveGreen}{</v>
      </c>
      <c r="H50" s="8" t="n">
        <f aca="false">(E50-C50)/C50</f>
        <v>-0.956271119061817</v>
      </c>
      <c r="I50" s="0" t="str">
        <f aca="false">I47</f>
        <v>}\\</v>
      </c>
    </row>
    <row r="51" customFormat="false" ht="15" hidden="false" customHeight="false" outlineLevel="0" collapsed="false">
      <c r="A51" s="0" t="s">
        <v>105</v>
      </c>
      <c r="B51" s="0" t="s">
        <v>91</v>
      </c>
      <c r="C51" s="15" t="n">
        <f aca="false">C45/C$49</f>
        <v>11.1363636363636</v>
      </c>
      <c r="D51" s="0" t="s">
        <v>91</v>
      </c>
      <c r="E51" s="16" t="n">
        <v>1</v>
      </c>
      <c r="F51" s="0" t="s">
        <v>91</v>
      </c>
      <c r="G51" s="0" t="str">
        <f aca="false">IF(H51&gt;0,"\textcolor{red}{+","\textcolor{OliveGreen}{")</f>
        <v>\textcolor{OliveGreen}{</v>
      </c>
      <c r="H51" s="8" t="n">
        <f aca="false">(E51-C51)/C51</f>
        <v>-0.910204081632653</v>
      </c>
      <c r="I51" s="0" t="str">
        <f aca="false">I50</f>
        <v>}\\</v>
      </c>
    </row>
    <row r="52" customFormat="false" ht="15" hidden="false" customHeight="false" outlineLevel="0" collapsed="false">
      <c r="A52" s="0" t="s">
        <v>106</v>
      </c>
      <c r="B52" s="0" t="s">
        <v>91</v>
      </c>
      <c r="C52" s="7" t="n">
        <f aca="false">Results!B18</f>
        <v>61823</v>
      </c>
      <c r="D52" s="0" t="s">
        <v>91</v>
      </c>
      <c r="E52" s="7" t="n">
        <f aca="false">Results!B26</f>
        <v>50145</v>
      </c>
      <c r="F52" s="0" t="s">
        <v>91</v>
      </c>
      <c r="G52" s="0" t="str">
        <f aca="false">IF(H52&gt;0,"\textcolor{red}{+","\textcolor{OliveGreen}{")</f>
        <v>\textcolor{OliveGreen}{</v>
      </c>
      <c r="H52" s="8" t="n">
        <f aca="false">(E52-C52)/C52</f>
        <v>-0.188894100900959</v>
      </c>
      <c r="I52" s="0" t="str">
        <f aca="false">I51</f>
        <v>}\\</v>
      </c>
    </row>
    <row r="53" customFormat="false" ht="15" hidden="false" customHeight="false" outlineLevel="0" collapsed="false">
      <c r="A53" s="0" t="s">
        <v>107</v>
      </c>
      <c r="B53" s="0" t="s">
        <v>91</v>
      </c>
      <c r="C53" s="7" t="n">
        <f aca="false">Results!E18</f>
        <v>146373</v>
      </c>
      <c r="D53" s="0" t="s">
        <v>91</v>
      </c>
      <c r="E53" s="7" t="n">
        <f aca="false">Results!E26</f>
        <v>117657</v>
      </c>
      <c r="F53" s="0" t="s">
        <v>91</v>
      </c>
      <c r="G53" s="0" t="str">
        <f aca="false">IF(H53&gt;0,"\textcolor{red}{+","\textcolor{OliveGreen}{")</f>
        <v>\textcolor{OliveGreen}{</v>
      </c>
      <c r="H53" s="8" t="n">
        <f aca="false">(E53-C53)/C53</f>
        <v>-0.196183722407821</v>
      </c>
      <c r="I53" s="0" t="str">
        <f aca="false">I52</f>
        <v>}\\</v>
      </c>
    </row>
    <row r="54" customFormat="false" ht="15" hidden="false" customHeight="false" outlineLevel="0" collapsed="false">
      <c r="A54" s="0" t="s">
        <v>108</v>
      </c>
      <c r="B54" s="0" t="s">
        <v>91</v>
      </c>
      <c r="C54" s="7" t="n">
        <f aca="false">Results!D18</f>
        <v>4</v>
      </c>
      <c r="D54" s="0" t="s">
        <v>91</v>
      </c>
      <c r="E54" s="7" t="n">
        <f aca="false">Results!D26</f>
        <v>4</v>
      </c>
      <c r="F54" s="0" t="s">
        <v>91</v>
      </c>
      <c r="G54" s="0" t="str">
        <f aca="false">IF(H54&gt;0,"\textcolor{red}{+","\textcolor{OliveGreen}{")</f>
        <v>\textcolor{OliveGreen}{</v>
      </c>
      <c r="H54" s="8" t="n">
        <f aca="false">(E54-C54)/C54</f>
        <v>0</v>
      </c>
      <c r="I54" s="0" t="str">
        <f aca="false">I53</f>
        <v>}\\</v>
      </c>
    </row>
    <row r="55" customFormat="false" ht="15" hidden="false" customHeight="false" outlineLevel="0" collapsed="false">
      <c r="A55" s="0" t="s">
        <v>109</v>
      </c>
      <c r="B55" s="0" t="s">
        <v>91</v>
      </c>
      <c r="C55" s="7" t="n">
        <f aca="false">Results!F18</f>
        <v>183.82</v>
      </c>
      <c r="D55" s="0" t="s">
        <v>91</v>
      </c>
      <c r="E55" s="7" t="n">
        <f aca="false">Results!F26</f>
        <v>184.2</v>
      </c>
      <c r="F55" s="0" t="s">
        <v>91</v>
      </c>
      <c r="G55" s="0" t="str">
        <f aca="false">IF(H55&gt;0,"\textcolor{OliveGreen}{+","\textcolor{red}{")</f>
        <v>\textcolor{OliveGreen}{+</v>
      </c>
      <c r="H55" s="8" t="n">
        <f aca="false">(E55-C55)/C55</f>
        <v>0.00206723969100204</v>
      </c>
      <c r="I55" s="0" t="str">
        <f aca="false">I54</f>
        <v>}\\</v>
      </c>
    </row>
    <row r="56" customFormat="false" ht="15" hidden="false" customHeight="false" outlineLevel="0" collapsed="false">
      <c r="A56" s="0" t="s">
        <v>104</v>
      </c>
      <c r="B56" s="0" t="s">
        <v>91</v>
      </c>
      <c r="C56" s="15" t="n">
        <f aca="false">C44/(C$55)</f>
        <v>27.3691654879774</v>
      </c>
      <c r="D56" s="0" t="s">
        <v>91</v>
      </c>
      <c r="E56" s="15" t="n">
        <f aca="false">E44/E$55</f>
        <v>23.2301845819761</v>
      </c>
      <c r="F56" s="0" t="s">
        <v>91</v>
      </c>
      <c r="G56" s="0" t="str">
        <f aca="false">IF(H56&gt;0,"\textcolor{red}{+","\textcolor{OliveGreen}{")</f>
        <v>\textcolor{OliveGreen}{</v>
      </c>
      <c r="H56" s="8" t="n">
        <f aca="false">(E56-C56)/C56</f>
        <v>-0.151227881165007</v>
      </c>
      <c r="I56" s="0" t="str">
        <f aca="false">I53</f>
        <v>}\\</v>
      </c>
    </row>
    <row r="57" customFormat="false" ht="15" hidden="false" customHeight="false" outlineLevel="0" collapsed="false">
      <c r="A57" s="0" t="s">
        <v>105</v>
      </c>
      <c r="B57" s="0" t="s">
        <v>91</v>
      </c>
      <c r="C57" s="15" t="n">
        <f aca="false">C45/(C$55)</f>
        <v>13.3282559025133</v>
      </c>
      <c r="D57" s="0" t="s">
        <v>91</v>
      </c>
      <c r="E57" s="15" t="n">
        <f aca="false">E45/E$55</f>
        <v>12.2258414766558</v>
      </c>
      <c r="F57" s="0" t="s">
        <v>91</v>
      </c>
      <c r="G57" s="0" t="str">
        <f aca="false">IF(H57&gt;0,"\textcolor{red}{+","\textcolor{OliveGreen}{")</f>
        <v>\textcolor{OliveGreen}{</v>
      </c>
      <c r="H57" s="8" t="n">
        <f aca="false">(E57-C57)/C57</f>
        <v>-0.0827125794943385</v>
      </c>
      <c r="I57" s="0" t="str">
        <f aca="false">I56</f>
        <v>}\\</v>
      </c>
    </row>
    <row r="58" s="12" customFormat="true" ht="15" hidden="false" customHeight="false" outlineLevel="0" collapsed="false">
      <c r="A58" s="9" t="s">
        <v>90</v>
      </c>
      <c r="B58" s="9" t="s">
        <v>91</v>
      </c>
      <c r="C58" s="10" t="str">
        <f aca="false">Cycle_estimation!A25</f>
        <v>1PKE_0d</v>
      </c>
      <c r="D58" s="9" t="s">
        <v>91</v>
      </c>
      <c r="E58" s="10" t="str">
        <f aca="false">Cycle_estimation_with_XEf!A25</f>
        <v>1PKE_5d</v>
      </c>
      <c r="F58" s="9" t="s">
        <v>91</v>
      </c>
      <c r="H58" s="11"/>
      <c r="I58" s="9" t="str">
        <f aca="false">I47</f>
        <v>}\\</v>
      </c>
    </row>
    <row r="59" customFormat="false" ht="15" hidden="false" customHeight="false" outlineLevel="0" collapsed="false">
      <c r="A59" s="13" t="s">
        <v>93</v>
      </c>
      <c r="B59" s="0" t="s">
        <v>91</v>
      </c>
      <c r="C59" s="7" t="n">
        <v>586</v>
      </c>
      <c r="D59" s="0" t="s">
        <v>91</v>
      </c>
      <c r="E59" s="7" t="n">
        <v>508</v>
      </c>
      <c r="F59" s="0" t="s">
        <v>91</v>
      </c>
      <c r="G59" s="0" t="str">
        <f aca="false">IF(H59&gt;0,"\textcolor{red}{+","\textcolor{OliveGreen}{")</f>
        <v>\textcolor{OliveGreen}{</v>
      </c>
      <c r="H59" s="8" t="n">
        <f aca="false">(E59-C59)/C59</f>
        <v>-0.133105802047782</v>
      </c>
      <c r="I59" s="0" t="s">
        <v>94</v>
      </c>
    </row>
    <row r="60" customFormat="false" ht="15" hidden="false" customHeight="false" outlineLevel="0" collapsed="false">
      <c r="A60" s="13" t="s">
        <v>95</v>
      </c>
      <c r="B60" s="0" t="s">
        <v>91</v>
      </c>
      <c r="C60" s="7" t="n">
        <v>676</v>
      </c>
      <c r="D60" s="0" t="s">
        <v>91</v>
      </c>
      <c r="E60" s="7" t="n">
        <v>461</v>
      </c>
      <c r="F60" s="0" t="s">
        <v>91</v>
      </c>
      <c r="G60" s="0" t="str">
        <f aca="false">IF(H60&gt;0,"\textcolor{red}{+","\textcolor{OliveGreen}{")</f>
        <v>\textcolor{OliveGreen}{</v>
      </c>
      <c r="H60" s="8" t="n">
        <f aca="false">(E60-C60)/C60</f>
        <v>-0.318047337278107</v>
      </c>
      <c r="I60" s="0" t="s">
        <v>94</v>
      </c>
    </row>
    <row r="61" customFormat="false" ht="15" hidden="false" customHeight="false" outlineLevel="0" collapsed="false">
      <c r="A61" s="13" t="s">
        <v>96</v>
      </c>
      <c r="B61" s="0" t="s">
        <v>91</v>
      </c>
      <c r="C61" s="7" t="n">
        <v>708</v>
      </c>
      <c r="D61" s="0" t="s">
        <v>91</v>
      </c>
      <c r="E61" s="7" t="n">
        <v>493</v>
      </c>
      <c r="F61" s="0" t="s">
        <v>91</v>
      </c>
      <c r="G61" s="0" t="str">
        <f aca="false">IF(H61&gt;0,"\textcolor{red}{+","\textcolor{OliveGreen}{")</f>
        <v>\textcolor{OliveGreen}{</v>
      </c>
      <c r="H61" s="8" t="n">
        <f aca="false">(E61-C61)/C61</f>
        <v>-0.303672316384181</v>
      </c>
      <c r="I61" s="0" t="s">
        <v>94</v>
      </c>
    </row>
    <row r="62" customFormat="false" ht="15" hidden="false" customHeight="false" outlineLevel="0" collapsed="false">
      <c r="A62" s="13" t="s">
        <v>97</v>
      </c>
      <c r="B62" s="0" t="s">
        <v>91</v>
      </c>
      <c r="C62" s="7" t="n">
        <v>756</v>
      </c>
      <c r="D62" s="0" t="s">
        <v>91</v>
      </c>
      <c r="E62" s="7" t="n">
        <v>636</v>
      </c>
      <c r="F62" s="0" t="s">
        <v>91</v>
      </c>
      <c r="G62" s="0" t="str">
        <f aca="false">IF(H62&gt;0,"\textcolor{red}{+","\textcolor{OliveGreen}{")</f>
        <v>\textcolor{OliveGreen}{</v>
      </c>
      <c r="H62" s="8" t="n">
        <f aca="false">(E62-C62)/C62</f>
        <v>-0.158730158730159</v>
      </c>
      <c r="I62" s="0" t="s">
        <v>94</v>
      </c>
    </row>
    <row r="63" customFormat="false" ht="15" hidden="false" customHeight="false" outlineLevel="0" collapsed="false">
      <c r="A63" s="0" t="s">
        <v>98</v>
      </c>
      <c r="B63" s="0" t="s">
        <v>91</v>
      </c>
      <c r="C63" s="7" t="n">
        <f aca="false">Cycle_estimation!B25</f>
        <v>2990</v>
      </c>
      <c r="D63" s="0" t="s">
        <v>91</v>
      </c>
      <c r="E63" s="7" t="n">
        <f aca="false">Cycle_estimation_with_XEf!B25</f>
        <v>2423</v>
      </c>
      <c r="F63" s="0" t="s">
        <v>91</v>
      </c>
      <c r="G63" s="0" t="str">
        <f aca="false">IF(H63&gt;0,"\textcolor{red}{+","\textcolor{OliveGreen}{")</f>
        <v>\textcolor{OliveGreen}{</v>
      </c>
      <c r="H63" s="8" t="n">
        <f aca="false">(E63-C63)/C63</f>
        <v>-0.189632107023411</v>
      </c>
      <c r="I63" s="0" t="str">
        <f aca="false">I58</f>
        <v>}\\</v>
      </c>
    </row>
    <row r="64" customFormat="false" ht="15" hidden="false" customHeight="false" outlineLevel="0" collapsed="false">
      <c r="A64" s="0" t="s">
        <v>99</v>
      </c>
      <c r="B64" s="0" t="s">
        <v>91</v>
      </c>
      <c r="C64" s="7" t="n">
        <f aca="false">Cycle_estimation!C25</f>
        <v>4063</v>
      </c>
      <c r="D64" s="0" t="s">
        <v>91</v>
      </c>
      <c r="E64" s="7" t="n">
        <f aca="false">Cycle_estimation_with_XEf!C25</f>
        <v>3395</v>
      </c>
      <c r="F64" s="0" t="s">
        <v>91</v>
      </c>
      <c r="G64" s="0" t="str">
        <f aca="false">IF(H64&gt;0,"\textcolor{red}{+","\textcolor{OliveGreen}{")</f>
        <v>\textcolor{OliveGreen}{</v>
      </c>
      <c r="H64" s="8" t="n">
        <f aca="false">(E64-C64)/C64</f>
        <v>-0.164410534088112</v>
      </c>
      <c r="I64" s="0" t="str">
        <f aca="false">I63</f>
        <v>}\\</v>
      </c>
    </row>
    <row r="65" customFormat="false" ht="15" hidden="false" customHeight="false" outlineLevel="0" collapsed="false">
      <c r="A65" s="0" t="s">
        <v>110</v>
      </c>
      <c r="B65" s="0" t="s">
        <v>91</v>
      </c>
      <c r="C65" s="7" t="n">
        <v>52587</v>
      </c>
      <c r="D65" s="0" t="s">
        <v>91</v>
      </c>
      <c r="E65" s="14"/>
      <c r="F65" s="0" t="s">
        <v>91</v>
      </c>
      <c r="G65" s="0" t="str">
        <f aca="false">IF(H65&gt;0,"\textcolor{red}{+","\textcolor{OliveGreen}{")</f>
        <v>\textcolor{OliveGreen}{</v>
      </c>
      <c r="H65" s="8" t="n">
        <f aca="false">(E65-C65)/C65</f>
        <v>-1</v>
      </c>
      <c r="I65" s="0" t="str">
        <f aca="false">I64</f>
        <v>}\\</v>
      </c>
    </row>
    <row r="66" customFormat="false" ht="15" hidden="false" customHeight="false" outlineLevel="0" collapsed="false">
      <c r="A66" s="0" t="s">
        <v>111</v>
      </c>
      <c r="B66" s="0" t="s">
        <v>91</v>
      </c>
      <c r="C66" s="7" t="n">
        <v>10674</v>
      </c>
      <c r="D66" s="0" t="s">
        <v>91</v>
      </c>
      <c r="E66" s="14"/>
      <c r="F66" s="0" t="s">
        <v>91</v>
      </c>
      <c r="G66" s="0" t="str">
        <f aca="false">IF(H66&gt;0,"\textcolor{red}{+","\textcolor{OliveGreen}{")</f>
        <v>\textcolor{OliveGreen}{</v>
      </c>
      <c r="H66" s="8" t="n">
        <f aca="false">(E66-C66)/C66</f>
        <v>-1</v>
      </c>
      <c r="I66" s="0" t="str">
        <f aca="false">I65</f>
        <v>}\\</v>
      </c>
    </row>
    <row r="67" customFormat="false" ht="15" hidden="false" customHeight="false" outlineLevel="0" collapsed="false">
      <c r="A67" s="0" t="s">
        <v>112</v>
      </c>
      <c r="B67" s="0" t="s">
        <v>91</v>
      </c>
      <c r="C67" s="7" t="n">
        <v>2</v>
      </c>
      <c r="D67" s="0" t="s">
        <v>91</v>
      </c>
      <c r="E67" s="14"/>
      <c r="F67" s="0" t="s">
        <v>91</v>
      </c>
      <c r="G67" s="0" t="str">
        <f aca="false">IF(H67&gt;0,"\textcolor{red}{+","\textcolor{OliveGreen}{")</f>
        <v>\textcolor{OliveGreen}{</v>
      </c>
      <c r="H67" s="8" t="n">
        <f aca="false">(E67-C67)/C67</f>
        <v>-1</v>
      </c>
      <c r="I67" s="0" t="str">
        <f aca="false">I66</f>
        <v>}\\</v>
      </c>
    </row>
    <row r="68" customFormat="false" ht="15" hidden="false" customHeight="false" outlineLevel="0" collapsed="false">
      <c r="A68" s="0" t="s">
        <v>113</v>
      </c>
      <c r="B68" s="0" t="s">
        <v>91</v>
      </c>
      <c r="C68" s="7" t="n">
        <v>260</v>
      </c>
      <c r="D68" s="0" t="s">
        <v>91</v>
      </c>
      <c r="E68" s="14"/>
      <c r="F68" s="0" t="s">
        <v>91</v>
      </c>
      <c r="G68" s="0" t="str">
        <f aca="false">IF(H68&gt;0,"\textcolor{OliveGreen}{+","\textcolor{red}{")</f>
        <v>\textcolor{red}{</v>
      </c>
      <c r="H68" s="8" t="n">
        <f aca="false">(E68-C68)/C68</f>
        <v>-1</v>
      </c>
      <c r="I68" s="0" t="str">
        <f aca="false">I67</f>
        <v>}\\</v>
      </c>
    </row>
    <row r="69" customFormat="false" ht="15" hidden="false" customHeight="false" outlineLevel="0" collapsed="false">
      <c r="A69" s="0" t="s">
        <v>104</v>
      </c>
      <c r="B69" s="0" t="s">
        <v>91</v>
      </c>
      <c r="C69" s="15" t="n">
        <f aca="false">C63/C$68</f>
        <v>11.5</v>
      </c>
      <c r="D69" s="0" t="s">
        <v>91</v>
      </c>
      <c r="E69" s="16" t="n">
        <v>1</v>
      </c>
      <c r="F69" s="0" t="s">
        <v>91</v>
      </c>
      <c r="G69" s="0" t="str">
        <f aca="false">IF(H69&gt;0,"\textcolor{red}{+","\textcolor{OliveGreen}{")</f>
        <v>\textcolor{OliveGreen}{</v>
      </c>
      <c r="H69" s="8" t="n">
        <f aca="false">(E69-C69)/C69</f>
        <v>-0.91304347826087</v>
      </c>
      <c r="I69" s="0" t="str">
        <f aca="false">I66</f>
        <v>}\\</v>
      </c>
    </row>
    <row r="70" customFormat="false" ht="15" hidden="false" customHeight="false" outlineLevel="0" collapsed="false">
      <c r="A70" s="0" t="s">
        <v>105</v>
      </c>
      <c r="B70" s="0" t="s">
        <v>91</v>
      </c>
      <c r="C70" s="15" t="n">
        <f aca="false">C64/C$68</f>
        <v>15.6269230769231</v>
      </c>
      <c r="D70" s="0" t="s">
        <v>91</v>
      </c>
      <c r="E70" s="16" t="n">
        <v>1</v>
      </c>
      <c r="F70" s="0" t="s">
        <v>91</v>
      </c>
      <c r="G70" s="0" t="str">
        <f aca="false">IF(H70&gt;0,"\textcolor{red}{+","\textcolor{OliveGreen}{")</f>
        <v>\textcolor{OliveGreen}{</v>
      </c>
      <c r="H70" s="8" t="n">
        <f aca="false">(E70-C70)/C70</f>
        <v>-0.936007875953729</v>
      </c>
      <c r="I70" s="0" t="str">
        <f aca="false">I69</f>
        <v>}\\</v>
      </c>
    </row>
    <row r="71" customFormat="false" ht="15" hidden="false" customHeight="false" outlineLevel="0" collapsed="false">
      <c r="A71" s="0" t="s">
        <v>106</v>
      </c>
      <c r="B71" s="0" t="s">
        <v>91</v>
      </c>
      <c r="C71" s="7" t="n">
        <f aca="false">Results!B19</f>
        <v>37252</v>
      </c>
      <c r="D71" s="0" t="s">
        <v>91</v>
      </c>
      <c r="E71" s="7" t="n">
        <f aca="false">Results!B27</f>
        <v>26998</v>
      </c>
      <c r="F71" s="0" t="s">
        <v>91</v>
      </c>
      <c r="G71" s="0" t="str">
        <f aca="false">IF(H71&gt;0,"\textcolor{red}{+","\textcolor{OliveGreen}{")</f>
        <v>\textcolor{OliveGreen}{</v>
      </c>
      <c r="H71" s="8" t="n">
        <f aca="false">(E71-C71)/C71</f>
        <v>-0.275260388703962</v>
      </c>
      <c r="I71" s="0" t="str">
        <f aca="false">I70</f>
        <v>}\\</v>
      </c>
    </row>
    <row r="72" customFormat="false" ht="15" hidden="false" customHeight="false" outlineLevel="0" collapsed="false">
      <c r="A72" s="0" t="s">
        <v>107</v>
      </c>
      <c r="B72" s="0" t="s">
        <v>91</v>
      </c>
      <c r="C72" s="7" t="n">
        <f aca="false">Results!E19</f>
        <v>82814</v>
      </c>
      <c r="D72" s="0" t="s">
        <v>91</v>
      </c>
      <c r="E72" s="7" t="n">
        <f aca="false">Results!E27</f>
        <v>57028</v>
      </c>
      <c r="F72" s="0" t="s">
        <v>91</v>
      </c>
      <c r="G72" s="0" t="str">
        <f aca="false">IF(H72&gt;0,"\textcolor{red}{+","\textcolor{OliveGreen}{")</f>
        <v>\textcolor{OliveGreen}{</v>
      </c>
      <c r="H72" s="8" t="n">
        <f aca="false">(E72-C72)/C72</f>
        <v>-0.311372473253315</v>
      </c>
      <c r="I72" s="0" t="str">
        <f aca="false">I71</f>
        <v>}\\</v>
      </c>
    </row>
    <row r="73" customFormat="false" ht="15" hidden="false" customHeight="false" outlineLevel="0" collapsed="false">
      <c r="A73" s="0" t="s">
        <v>108</v>
      </c>
      <c r="B73" s="0" t="s">
        <v>91</v>
      </c>
      <c r="C73" s="7" t="n">
        <f aca="false">Results!D19</f>
        <v>6</v>
      </c>
      <c r="D73" s="0" t="s">
        <v>91</v>
      </c>
      <c r="E73" s="7" t="n">
        <f aca="false">Results!D27</f>
        <v>6</v>
      </c>
      <c r="F73" s="0" t="s">
        <v>91</v>
      </c>
      <c r="G73" s="0" t="str">
        <f aca="false">IF(H73&gt;0,"\textcolor{red}{+","\textcolor{OliveGreen}{")</f>
        <v>\textcolor{OliveGreen}{</v>
      </c>
      <c r="H73" s="8" t="n">
        <f aca="false">(E73-C73)/C73</f>
        <v>0</v>
      </c>
      <c r="I73" s="0" t="str">
        <f aca="false">I72</f>
        <v>}\\</v>
      </c>
    </row>
    <row r="74" customFormat="false" ht="15" hidden="false" customHeight="false" outlineLevel="0" collapsed="false">
      <c r="A74" s="0" t="s">
        <v>109</v>
      </c>
      <c r="B74" s="0" t="s">
        <v>91</v>
      </c>
      <c r="C74" s="7" t="n">
        <f aca="false">Results!F19</f>
        <v>191.09</v>
      </c>
      <c r="D74" s="0" t="s">
        <v>91</v>
      </c>
      <c r="E74" s="7" t="n">
        <f aca="false">Results!F27</f>
        <v>193.57</v>
      </c>
      <c r="F74" s="0" t="s">
        <v>91</v>
      </c>
      <c r="G74" s="0" t="str">
        <f aca="false">IF(H74&gt;0,"\textcolor{OliveGreen}{+","\textcolor{red}{")</f>
        <v>\textcolor{OliveGreen}{+</v>
      </c>
      <c r="H74" s="8" t="n">
        <f aca="false">(E74-C74)/C74</f>
        <v>0.0129781778219687</v>
      </c>
      <c r="I74" s="0" t="str">
        <f aca="false">I73</f>
        <v>}\\</v>
      </c>
    </row>
    <row r="75" customFormat="false" ht="15" hidden="false" customHeight="false" outlineLevel="0" collapsed="false">
      <c r="A75" s="0" t="s">
        <v>104</v>
      </c>
      <c r="B75" s="0" t="s">
        <v>91</v>
      </c>
      <c r="C75" s="15" t="n">
        <f aca="false">C63/(C$74)</f>
        <v>15.6470772934219</v>
      </c>
      <c r="D75" s="0" t="s">
        <v>91</v>
      </c>
      <c r="E75" s="15" t="n">
        <f aca="false">E63/E$74</f>
        <v>12.5174355530299</v>
      </c>
      <c r="F75" s="0" t="s">
        <v>91</v>
      </c>
      <c r="G75" s="0" t="str">
        <f aca="false">IF(H75&gt;0,"\textcolor{red}{+","\textcolor{OliveGreen}{")</f>
        <v>\textcolor{OliveGreen}{</v>
      </c>
      <c r="H75" s="8" t="n">
        <f aca="false">(E75-C75)/C75</f>
        <v>-0.200014461595824</v>
      </c>
      <c r="I75" s="0" t="str">
        <f aca="false">I72</f>
        <v>}\\</v>
      </c>
    </row>
    <row r="76" customFormat="false" ht="15" hidden="false" customHeight="false" outlineLevel="0" collapsed="false">
      <c r="A76" s="0" t="s">
        <v>105</v>
      </c>
      <c r="B76" s="0" t="s">
        <v>91</v>
      </c>
      <c r="C76" s="15" t="n">
        <f aca="false">C64/(C$74)</f>
        <v>21.2622324559108</v>
      </c>
      <c r="D76" s="0" t="s">
        <v>91</v>
      </c>
      <c r="E76" s="15" t="n">
        <f aca="false">E64/E$74</f>
        <v>17.5388748256445</v>
      </c>
      <c r="F76" s="0" t="s">
        <v>91</v>
      </c>
      <c r="G76" s="0" t="str">
        <f aca="false">IF(H76&gt;0,"\textcolor{red}{+","\textcolor{OliveGreen}{")</f>
        <v>\textcolor{OliveGreen}{</v>
      </c>
      <c r="H76" s="8" t="n">
        <f aca="false">(E76-C76)/C76</f>
        <v>-0.175116024998178</v>
      </c>
      <c r="I76" s="0" t="str">
        <f aca="false">I75</f>
        <v>}\\</v>
      </c>
    </row>
    <row r="77" s="12" customFormat="true" ht="15" hidden="false" customHeight="false" outlineLevel="0" collapsed="false">
      <c r="A77" s="9" t="s">
        <v>90</v>
      </c>
      <c r="B77" s="9" t="s">
        <v>91</v>
      </c>
      <c r="C77" s="10" t="str">
        <f aca="false">Cycle_estimation!A26</f>
        <v>3PKE_0d</v>
      </c>
      <c r="D77" s="9" t="s">
        <v>91</v>
      </c>
      <c r="E77" s="10" t="str">
        <f aca="false">Cycle_estimation_with_XEf!A26</f>
        <v>3PKE_5d</v>
      </c>
      <c r="F77" s="9" t="s">
        <v>91</v>
      </c>
      <c r="H77" s="11"/>
      <c r="I77" s="9" t="str">
        <f aca="false">I70</f>
        <v>}\\</v>
      </c>
    </row>
    <row r="78" customFormat="false" ht="15" hidden="false" customHeight="false" outlineLevel="0" collapsed="false">
      <c r="A78" s="13" t="s">
        <v>93</v>
      </c>
      <c r="B78" s="0" t="s">
        <v>91</v>
      </c>
      <c r="C78" s="7" t="n">
        <v>852</v>
      </c>
      <c r="D78" s="0" t="s">
        <v>91</v>
      </c>
      <c r="E78" s="7" t="n">
        <v>756</v>
      </c>
      <c r="F78" s="0" t="s">
        <v>91</v>
      </c>
      <c r="G78" s="0" t="str">
        <f aca="false">IF(H78&gt;0,"\textcolor{red}{+","\textcolor{OliveGreen}{")</f>
        <v>\textcolor{OliveGreen}{</v>
      </c>
      <c r="H78" s="8" t="n">
        <f aca="false">(E78-C78)/C78</f>
        <v>-0.112676056338028</v>
      </c>
      <c r="I78" s="0" t="s">
        <v>94</v>
      </c>
    </row>
    <row r="79" customFormat="false" ht="15" hidden="false" customHeight="false" outlineLevel="0" collapsed="false">
      <c r="A79" s="13" t="s">
        <v>95</v>
      </c>
      <c r="B79" s="0" t="s">
        <v>91</v>
      </c>
      <c r="C79" s="7" t="n">
        <v>983</v>
      </c>
      <c r="D79" s="0" t="s">
        <v>91</v>
      </c>
      <c r="E79" s="7" t="n">
        <v>780</v>
      </c>
      <c r="F79" s="0" t="s">
        <v>91</v>
      </c>
      <c r="G79" s="0" t="str">
        <f aca="false">IF(H79&gt;0,"\textcolor{red}{+","\textcolor{OliveGreen}{")</f>
        <v>\textcolor{OliveGreen}{</v>
      </c>
      <c r="H79" s="8" t="n">
        <f aca="false">(E79-C79)/C79</f>
        <v>-0.206510681586979</v>
      </c>
      <c r="I79" s="0" t="s">
        <v>94</v>
      </c>
    </row>
    <row r="80" customFormat="false" ht="15" hidden="false" customHeight="false" outlineLevel="0" collapsed="false">
      <c r="A80" s="13" t="s">
        <v>96</v>
      </c>
      <c r="B80" s="0" t="s">
        <v>91</v>
      </c>
      <c r="C80" s="7" t="n">
        <v>1031</v>
      </c>
      <c r="D80" s="0" t="s">
        <v>91</v>
      </c>
      <c r="E80" s="7" t="n">
        <v>828</v>
      </c>
      <c r="F80" s="0" t="s">
        <v>91</v>
      </c>
      <c r="G80" s="0" t="str">
        <f aca="false">IF(H80&gt;0,"\textcolor{red}{+","\textcolor{OliveGreen}{")</f>
        <v>\textcolor{OliveGreen}{</v>
      </c>
      <c r="H80" s="8" t="n">
        <f aca="false">(E80-C80)/C80</f>
        <v>-0.196896217264791</v>
      </c>
      <c r="I80" s="0" t="s">
        <v>94</v>
      </c>
    </row>
    <row r="81" customFormat="false" ht="15" hidden="false" customHeight="false" outlineLevel="0" collapsed="false">
      <c r="A81" s="13" t="s">
        <v>97</v>
      </c>
      <c r="B81" s="0" t="s">
        <v>91</v>
      </c>
      <c r="C81" s="7" t="n">
        <v>1119</v>
      </c>
      <c r="D81" s="0" t="s">
        <v>91</v>
      </c>
      <c r="E81" s="7" t="n">
        <v>950</v>
      </c>
      <c r="F81" s="0" t="s">
        <v>91</v>
      </c>
      <c r="G81" s="0" t="str">
        <f aca="false">IF(H81&gt;0,"\textcolor{red}{+","\textcolor{OliveGreen}{")</f>
        <v>\textcolor{OliveGreen}{</v>
      </c>
      <c r="H81" s="8" t="n">
        <f aca="false">(E81-C81)/C81</f>
        <v>-0.151027703306524</v>
      </c>
      <c r="I81" s="0" t="s">
        <v>94</v>
      </c>
    </row>
    <row r="82" customFormat="false" ht="15" hidden="false" customHeight="false" outlineLevel="0" collapsed="false">
      <c r="A82" s="0" t="s">
        <v>98</v>
      </c>
      <c r="B82" s="0" t="s">
        <v>91</v>
      </c>
      <c r="C82" s="7" t="n">
        <f aca="false">Cycle_estimation!B26</f>
        <v>4248</v>
      </c>
      <c r="D82" s="0" t="s">
        <v>91</v>
      </c>
      <c r="E82" s="7" t="n">
        <f aca="false">Cycle_estimation_with_XEf!B26</f>
        <v>3650</v>
      </c>
      <c r="F82" s="0" t="s">
        <v>91</v>
      </c>
      <c r="G82" s="0" t="str">
        <f aca="false">IF(H82&gt;0,"\textcolor{red}{+","\textcolor{OliveGreen}{")</f>
        <v>\textcolor{OliveGreen}{</v>
      </c>
      <c r="H82" s="8" t="n">
        <f aca="false">(E82-C82)/C82</f>
        <v>-0.140772128060264</v>
      </c>
      <c r="I82" s="0" t="str">
        <f aca="false">I77</f>
        <v>}\\</v>
      </c>
    </row>
    <row r="83" customFormat="false" ht="15" hidden="false" customHeight="false" outlineLevel="0" collapsed="false">
      <c r="A83" s="0" t="s">
        <v>99</v>
      </c>
      <c r="B83" s="0" t="s">
        <v>91</v>
      </c>
      <c r="C83" s="7" t="n">
        <f aca="false">Cycle_estimation!C26</f>
        <v>5839</v>
      </c>
      <c r="D83" s="0" t="s">
        <v>91</v>
      </c>
      <c r="E83" s="7" t="n">
        <f aca="false">Cycle_estimation_with_XEf!C26</f>
        <v>5076</v>
      </c>
      <c r="F83" s="0" t="s">
        <v>91</v>
      </c>
      <c r="G83" s="0" t="str">
        <f aca="false">IF(H83&gt;0,"\textcolor{red}{+","\textcolor{OliveGreen}{")</f>
        <v>\textcolor{OliveGreen}{</v>
      </c>
      <c r="H83" s="8" t="n">
        <f aca="false">(E83-C83)/C83</f>
        <v>-0.130673060455557</v>
      </c>
      <c r="I83" s="0" t="str">
        <f aca="false">I82</f>
        <v>}\\</v>
      </c>
    </row>
    <row r="84" customFormat="false" ht="15" hidden="false" customHeight="false" outlineLevel="0" collapsed="false">
      <c r="A84" s="0" t="s">
        <v>110</v>
      </c>
      <c r="B84" s="0" t="s">
        <v>91</v>
      </c>
      <c r="C84" s="7" t="n">
        <v>71044</v>
      </c>
      <c r="D84" s="0" t="s">
        <v>91</v>
      </c>
      <c r="E84" s="14"/>
      <c r="F84" s="0" t="s">
        <v>91</v>
      </c>
      <c r="G84" s="0" t="str">
        <f aca="false">IF(H84&gt;0,"\textcolor{red}{+","\textcolor{OliveGreen}{")</f>
        <v>\textcolor{OliveGreen}{</v>
      </c>
      <c r="H84" s="8" t="n">
        <f aca="false">(E84-C84)/C84</f>
        <v>-1</v>
      </c>
      <c r="I84" s="0" t="str">
        <f aca="false">I83</f>
        <v>}\\</v>
      </c>
    </row>
    <row r="85" customFormat="false" ht="15" hidden="false" customHeight="false" outlineLevel="0" collapsed="false">
      <c r="A85" s="0" t="s">
        <v>111</v>
      </c>
      <c r="B85" s="0" t="s">
        <v>91</v>
      </c>
      <c r="C85" s="7" t="n">
        <v>13476</v>
      </c>
      <c r="D85" s="0" t="s">
        <v>91</v>
      </c>
      <c r="E85" s="14"/>
      <c r="F85" s="0" t="s">
        <v>91</v>
      </c>
      <c r="G85" s="0" t="str">
        <f aca="false">IF(H85&gt;0,"\textcolor{red}{+","\textcolor{OliveGreen}{")</f>
        <v>\textcolor{OliveGreen}{</v>
      </c>
      <c r="H85" s="8" t="n">
        <f aca="false">(E85-C85)/C85</f>
        <v>-1</v>
      </c>
      <c r="I85" s="0" t="str">
        <f aca="false">I84</f>
        <v>}\\</v>
      </c>
    </row>
    <row r="86" customFormat="false" ht="15" hidden="false" customHeight="false" outlineLevel="0" collapsed="false">
      <c r="A86" s="0" t="s">
        <v>112</v>
      </c>
      <c r="B86" s="0" t="s">
        <v>91</v>
      </c>
      <c r="C86" s="7" t="n">
        <v>2</v>
      </c>
      <c r="D86" s="0" t="s">
        <v>91</v>
      </c>
      <c r="E86" s="14"/>
      <c r="F86" s="0" t="s">
        <v>91</v>
      </c>
      <c r="G86" s="0" t="str">
        <f aca="false">IF(H86&gt;0,"\textcolor{red}{+","\textcolor{OliveGreen}{")</f>
        <v>\textcolor{OliveGreen}{</v>
      </c>
      <c r="H86" s="8" t="n">
        <f aca="false">(E86-C86)/C86</f>
        <v>-1</v>
      </c>
      <c r="I86" s="0" t="str">
        <f aca="false">I85</f>
        <v>}\\</v>
      </c>
    </row>
    <row r="87" customFormat="false" ht="15" hidden="false" customHeight="false" outlineLevel="0" collapsed="false">
      <c r="A87" s="0" t="s">
        <v>113</v>
      </c>
      <c r="B87" s="0" t="s">
        <v>91</v>
      </c>
      <c r="C87" s="7" t="n">
        <v>249</v>
      </c>
      <c r="D87" s="0" t="s">
        <v>91</v>
      </c>
      <c r="E87" s="14"/>
      <c r="F87" s="0" t="s">
        <v>91</v>
      </c>
      <c r="G87" s="0" t="str">
        <f aca="false">IF(H87&gt;0,"\textcolor{OliveGreen}{+","\textcolor{red}{")</f>
        <v>\textcolor{red}{</v>
      </c>
      <c r="H87" s="8" t="n">
        <f aca="false">(E87-C87)/C87</f>
        <v>-1</v>
      </c>
      <c r="I87" s="0" t="str">
        <f aca="false">I86</f>
        <v>}\\</v>
      </c>
    </row>
    <row r="88" customFormat="false" ht="15" hidden="false" customHeight="false" outlineLevel="0" collapsed="false">
      <c r="A88" s="0" t="s">
        <v>104</v>
      </c>
      <c r="B88" s="0" t="s">
        <v>91</v>
      </c>
      <c r="C88" s="15" t="n">
        <f aca="false">C82/C$87</f>
        <v>17.0602409638554</v>
      </c>
      <c r="D88" s="0" t="s">
        <v>91</v>
      </c>
      <c r="E88" s="16" t="n">
        <v>1</v>
      </c>
      <c r="F88" s="0" t="s">
        <v>91</v>
      </c>
      <c r="G88" s="0" t="str">
        <f aca="false">IF(H88&gt;0,"\textcolor{red}{+","\textcolor{OliveGreen}{")</f>
        <v>\textcolor{OliveGreen}{</v>
      </c>
      <c r="H88" s="8" t="n">
        <f aca="false">(E88-C88)/C88</f>
        <v>-0.94138418079096</v>
      </c>
      <c r="I88" s="0" t="str">
        <f aca="false">I85</f>
        <v>}\\</v>
      </c>
    </row>
    <row r="89" customFormat="false" ht="15" hidden="false" customHeight="false" outlineLevel="0" collapsed="false">
      <c r="A89" s="0" t="s">
        <v>105</v>
      </c>
      <c r="B89" s="0" t="s">
        <v>91</v>
      </c>
      <c r="C89" s="15" t="n">
        <f aca="false">C83/C$87</f>
        <v>23.4497991967871</v>
      </c>
      <c r="D89" s="0" t="s">
        <v>91</v>
      </c>
      <c r="E89" s="16" t="n">
        <v>1</v>
      </c>
      <c r="F89" s="0" t="s">
        <v>91</v>
      </c>
      <c r="G89" s="0" t="str">
        <f aca="false">IF(H89&gt;0,"\textcolor{red}{+","\textcolor{OliveGreen}{")</f>
        <v>\textcolor{OliveGreen}{</v>
      </c>
      <c r="H89" s="8" t="n">
        <f aca="false">(E89-C89)/C89</f>
        <v>-0.957355711594451</v>
      </c>
      <c r="I89" s="0" t="str">
        <f aca="false">I88</f>
        <v>}\\</v>
      </c>
    </row>
    <row r="90" customFormat="false" ht="15" hidden="false" customHeight="false" outlineLevel="0" collapsed="false">
      <c r="A90" s="0" t="s">
        <v>106</v>
      </c>
      <c r="B90" s="0" t="s">
        <v>91</v>
      </c>
      <c r="C90" s="7" t="n">
        <f aca="false">Results!B20</f>
        <v>48029</v>
      </c>
      <c r="D90" s="0" t="s">
        <v>91</v>
      </c>
      <c r="E90" s="7" t="n">
        <f aca="false">Results!B28</f>
        <v>43014</v>
      </c>
      <c r="F90" s="0" t="s">
        <v>91</v>
      </c>
      <c r="G90" s="0" t="str">
        <f aca="false">IF(H90&gt;0,"\textcolor{red}{+","\textcolor{OliveGreen}{")</f>
        <v>\textcolor{OliveGreen}{</v>
      </c>
      <c r="H90" s="8" t="n">
        <f aca="false">(E90-C90)/C90</f>
        <v>-0.104416081950488</v>
      </c>
      <c r="I90" s="0" t="str">
        <f aca="false">I89</f>
        <v>}\\</v>
      </c>
    </row>
    <row r="91" customFormat="false" ht="15" hidden="false" customHeight="false" outlineLevel="0" collapsed="false">
      <c r="A91" s="0" t="s">
        <v>107</v>
      </c>
      <c r="B91" s="0" t="s">
        <v>91</v>
      </c>
      <c r="C91" s="7" t="n">
        <f aca="false">Results!E20</f>
        <v>108844</v>
      </c>
      <c r="D91" s="0" t="s">
        <v>91</v>
      </c>
      <c r="E91" s="7" t="n">
        <f aca="false">Results!E28</f>
        <v>96859</v>
      </c>
      <c r="F91" s="0" t="s">
        <v>91</v>
      </c>
      <c r="G91" s="0" t="str">
        <f aca="false">IF(H91&gt;0,"\textcolor{red}{+","\textcolor{OliveGreen}{")</f>
        <v>\textcolor{OliveGreen}{</v>
      </c>
      <c r="H91" s="8" t="n">
        <f aca="false">(E91-C91)/C91</f>
        <v>-0.110111719525192</v>
      </c>
      <c r="I91" s="0" t="str">
        <f aca="false">I90</f>
        <v>}\\</v>
      </c>
    </row>
    <row r="92" customFormat="false" ht="15" hidden="false" customHeight="false" outlineLevel="0" collapsed="false">
      <c r="A92" s="0" t="s">
        <v>108</v>
      </c>
      <c r="B92" s="0" t="s">
        <v>91</v>
      </c>
      <c r="C92" s="7" t="n">
        <f aca="false">Results!D20</f>
        <v>6</v>
      </c>
      <c r="D92" s="0" t="s">
        <v>91</v>
      </c>
      <c r="E92" s="7" t="n">
        <f aca="false">Results!D28</f>
        <v>6</v>
      </c>
      <c r="F92" s="0" t="s">
        <v>91</v>
      </c>
      <c r="G92" s="0" t="str">
        <f aca="false">IF(H92&gt;0,"\textcolor{red}{+","\textcolor{OliveGreen}{")</f>
        <v>\textcolor{OliveGreen}{</v>
      </c>
      <c r="H92" s="8" t="n">
        <f aca="false">(E92-C92)/C92</f>
        <v>0</v>
      </c>
      <c r="I92" s="0" t="str">
        <f aca="false">I91</f>
        <v>}\\</v>
      </c>
    </row>
    <row r="93" customFormat="false" ht="15" hidden="false" customHeight="false" outlineLevel="0" collapsed="false">
      <c r="A93" s="0" t="s">
        <v>109</v>
      </c>
      <c r="B93" s="0" t="s">
        <v>91</v>
      </c>
      <c r="C93" s="7" t="n">
        <f aca="false">Results!F20</f>
        <v>194.7</v>
      </c>
      <c r="D93" s="0" t="s">
        <v>91</v>
      </c>
      <c r="E93" s="7" t="n">
        <f aca="false">Results!F28</f>
        <v>189.83</v>
      </c>
      <c r="F93" s="0" t="s">
        <v>91</v>
      </c>
      <c r="G93" s="0" t="str">
        <f aca="false">IF(H93&gt;0,"\textcolor{OliveGreen}{+","\textcolor{red}{")</f>
        <v>\textcolor{red}{</v>
      </c>
      <c r="H93" s="8" t="n">
        <f aca="false">(E93-C93)/C93</f>
        <v>-0.0250128402670774</v>
      </c>
      <c r="I93" s="0" t="str">
        <f aca="false">I92</f>
        <v>}\\</v>
      </c>
    </row>
    <row r="94" customFormat="false" ht="15" hidden="false" customHeight="false" outlineLevel="0" collapsed="false">
      <c r="A94" s="0" t="s">
        <v>104</v>
      </c>
      <c r="B94" s="0" t="s">
        <v>91</v>
      </c>
      <c r="C94" s="15" t="n">
        <f aca="false">C82/(C$93)</f>
        <v>21.8181818181818</v>
      </c>
      <c r="D94" s="0" t="s">
        <v>91</v>
      </c>
      <c r="E94" s="15" t="n">
        <f aca="false">E82/E$93</f>
        <v>19.227730074277</v>
      </c>
      <c r="F94" s="0" t="s">
        <v>91</v>
      </c>
      <c r="G94" s="0" t="str">
        <f aca="false">IF(H94&gt;0,"\textcolor{red}{+","\textcolor{OliveGreen}{")</f>
        <v>\textcolor{OliveGreen}{</v>
      </c>
      <c r="H94" s="8" t="n">
        <f aca="false">(E94-C94)/C94</f>
        <v>-0.118729038262305</v>
      </c>
      <c r="I94" s="0" t="str">
        <f aca="false">I91</f>
        <v>}\\</v>
      </c>
    </row>
    <row r="95" customFormat="false" ht="15" hidden="false" customHeight="false" outlineLevel="0" collapsed="false">
      <c r="A95" s="0" t="s">
        <v>105</v>
      </c>
      <c r="B95" s="0" t="s">
        <v>91</v>
      </c>
      <c r="C95" s="15" t="n">
        <f aca="false">C83/(C$93)</f>
        <v>29.989727786338</v>
      </c>
      <c r="D95" s="0" t="s">
        <v>91</v>
      </c>
      <c r="E95" s="15" t="n">
        <f aca="false">E83/E$93</f>
        <v>26.7397144813781</v>
      </c>
      <c r="F95" s="0" t="s">
        <v>91</v>
      </c>
      <c r="G95" s="0" t="str">
        <f aca="false">IF(H95&gt;0,"\textcolor{red}{+","\textcolor{OliveGreen}{")</f>
        <v>\textcolor{OliveGreen}{</v>
      </c>
      <c r="H95" s="8" t="n">
        <f aca="false">(E95-C95)/C95</f>
        <v>-0.108370883794432</v>
      </c>
      <c r="I95" s="0" t="str">
        <f aca="false">I94</f>
        <v>}\\</v>
      </c>
    </row>
    <row r="96" s="12" customFormat="true" ht="15" hidden="false" customHeight="false" outlineLevel="0" collapsed="false">
      <c r="A96" s="9" t="s">
        <v>90</v>
      </c>
      <c r="B96" s="9" t="s">
        <v>91</v>
      </c>
      <c r="C96" s="10" t="str">
        <f aca="false">Cycle_estimation!A27</f>
        <v>5PKE_0d</v>
      </c>
      <c r="D96" s="9" t="s">
        <v>91</v>
      </c>
      <c r="E96" s="10" t="str">
        <f aca="false">Cycle_estimation_with_XEf!A27</f>
        <v>5PKE_5d</v>
      </c>
      <c r="F96" s="9" t="s">
        <v>91</v>
      </c>
      <c r="H96" s="11"/>
      <c r="I96" s="9" t="str">
        <f aca="false">I87</f>
        <v>}\\</v>
      </c>
    </row>
    <row r="97" customFormat="false" ht="15" hidden="false" customHeight="false" outlineLevel="0" collapsed="false">
      <c r="A97" s="13" t="s">
        <v>93</v>
      </c>
      <c r="B97" s="0" t="s">
        <v>91</v>
      </c>
      <c r="C97" s="7" t="n">
        <v>1170</v>
      </c>
      <c r="D97" s="0" t="s">
        <v>91</v>
      </c>
      <c r="E97" s="7" t="n">
        <v>946</v>
      </c>
      <c r="F97" s="0" t="s">
        <v>91</v>
      </c>
      <c r="G97" s="0" t="str">
        <f aca="false">IF(H97&gt;0,"\textcolor{red}{+","\textcolor{OliveGreen}{")</f>
        <v>\textcolor{OliveGreen}{</v>
      </c>
      <c r="H97" s="8" t="n">
        <f aca="false">(E97-C97)/C97</f>
        <v>-0.191452991452991</v>
      </c>
      <c r="I97" s="0" t="s">
        <v>94</v>
      </c>
    </row>
    <row r="98" customFormat="false" ht="15" hidden="false" customHeight="false" outlineLevel="0" collapsed="false">
      <c r="A98" s="13" t="s">
        <v>95</v>
      </c>
      <c r="B98" s="0" t="s">
        <v>91</v>
      </c>
      <c r="C98" s="7" t="n">
        <v>1349</v>
      </c>
      <c r="D98" s="0" t="s">
        <v>91</v>
      </c>
      <c r="E98" s="7" t="n">
        <v>978</v>
      </c>
      <c r="F98" s="0" t="s">
        <v>91</v>
      </c>
      <c r="G98" s="0" t="str">
        <f aca="false">IF(H98&gt;0,"\textcolor{red}{+","\textcolor{OliveGreen}{")</f>
        <v>\textcolor{OliveGreen}{</v>
      </c>
      <c r="H98" s="8" t="n">
        <f aca="false">(E98-C98)/C98</f>
        <v>-0.275018532246108</v>
      </c>
      <c r="I98" s="0" t="s">
        <v>94</v>
      </c>
    </row>
    <row r="99" customFormat="false" ht="15" hidden="false" customHeight="false" outlineLevel="0" collapsed="false">
      <c r="A99" s="13" t="s">
        <v>96</v>
      </c>
      <c r="B99" s="0" t="s">
        <v>91</v>
      </c>
      <c r="C99" s="7" t="n">
        <v>1413</v>
      </c>
      <c r="D99" s="0" t="s">
        <v>91</v>
      </c>
      <c r="E99" s="7" t="n">
        <v>1042</v>
      </c>
      <c r="F99" s="0" t="s">
        <v>91</v>
      </c>
      <c r="G99" s="0" t="str">
        <f aca="false">IF(H99&gt;0,"\textcolor{red}{+","\textcolor{OliveGreen}{")</f>
        <v>\textcolor{OliveGreen}{</v>
      </c>
      <c r="H99" s="8" t="n">
        <f aca="false">(E99-C99)/C99</f>
        <v>-0.262561924982307</v>
      </c>
      <c r="I99" s="0" t="s">
        <v>94</v>
      </c>
    </row>
    <row r="100" customFormat="false" ht="15" hidden="false" customHeight="false" outlineLevel="0" collapsed="false">
      <c r="A100" s="13" t="s">
        <v>97</v>
      </c>
      <c r="B100" s="0" t="s">
        <v>91</v>
      </c>
      <c r="C100" s="7" t="n">
        <v>1525</v>
      </c>
      <c r="D100" s="0" t="s">
        <v>91</v>
      </c>
      <c r="E100" s="7" t="n">
        <v>1301</v>
      </c>
      <c r="F100" s="0" t="s">
        <v>91</v>
      </c>
      <c r="G100" s="0" t="str">
        <f aca="false">IF(H100&gt;0,"\textcolor{red}{+","\textcolor{OliveGreen}{")</f>
        <v>\textcolor{OliveGreen}{</v>
      </c>
      <c r="H100" s="8" t="n">
        <f aca="false">(E100-C100)/C100</f>
        <v>-0.146885245901639</v>
      </c>
      <c r="I100" s="0" t="s">
        <v>94</v>
      </c>
    </row>
    <row r="101" customFormat="false" ht="15" hidden="false" customHeight="false" outlineLevel="0" collapsed="false">
      <c r="A101" s="0" t="s">
        <v>98</v>
      </c>
      <c r="B101" s="0" t="s">
        <v>91</v>
      </c>
      <c r="C101" s="7" t="n">
        <f aca="false">Cycle_estimation!B27</f>
        <v>5836</v>
      </c>
      <c r="D101" s="0" t="s">
        <v>91</v>
      </c>
      <c r="E101" s="7" t="n">
        <f aca="false">Cycle_estimation_with_XEf!B27</f>
        <v>4509</v>
      </c>
      <c r="F101" s="0" t="s">
        <v>91</v>
      </c>
      <c r="G101" s="0" t="str">
        <f aca="false">IF(H101&gt;0,"\textcolor{red}{+","\textcolor{OliveGreen}{")</f>
        <v>\textcolor{OliveGreen}{</v>
      </c>
      <c r="H101" s="8" t="n">
        <f aca="false">(E101-C101)/C101</f>
        <v>-0.227381768334476</v>
      </c>
      <c r="I101" s="0" t="str">
        <f aca="false">I96</f>
        <v>}\\</v>
      </c>
    </row>
    <row r="102" customFormat="false" ht="15" hidden="false" customHeight="false" outlineLevel="0" collapsed="false">
      <c r="A102" s="0" t="s">
        <v>99</v>
      </c>
      <c r="B102" s="0" t="s">
        <v>91</v>
      </c>
      <c r="C102" s="7" t="n">
        <f aca="false">Cycle_estimation!C27</f>
        <v>7999</v>
      </c>
      <c r="D102" s="0" t="s">
        <v>91</v>
      </c>
      <c r="E102" s="7" t="n">
        <f aca="false">Cycle_estimation_with_XEf!C27</f>
        <v>6301</v>
      </c>
      <c r="F102" s="0" t="s">
        <v>91</v>
      </c>
      <c r="G102" s="0" t="str">
        <f aca="false">IF(H102&gt;0,"\textcolor{red}{+","\textcolor{OliveGreen}{")</f>
        <v>\textcolor{OliveGreen}{</v>
      </c>
      <c r="H102" s="8" t="n">
        <f aca="false">(E102-C102)/C102</f>
        <v>-0.212276534566821</v>
      </c>
      <c r="I102" s="0" t="str">
        <f aca="false">I101</f>
        <v>}\\</v>
      </c>
    </row>
    <row r="103" customFormat="false" ht="15" hidden="false" customHeight="false" outlineLevel="0" collapsed="false">
      <c r="A103" s="0" t="s">
        <v>110</v>
      </c>
      <c r="B103" s="0" t="s">
        <v>91</v>
      </c>
      <c r="C103" s="7" t="n">
        <v>99315</v>
      </c>
      <c r="D103" s="0" t="s">
        <v>91</v>
      </c>
      <c r="E103" s="14"/>
      <c r="F103" s="0" t="s">
        <v>91</v>
      </c>
      <c r="G103" s="0" t="str">
        <f aca="false">IF(H103&gt;0,"\textcolor{red}{+","\textcolor{OliveGreen}{")</f>
        <v>\textcolor{OliveGreen}{</v>
      </c>
      <c r="H103" s="8" t="n">
        <f aca="false">(E103-C103)/C103</f>
        <v>-1</v>
      </c>
      <c r="I103" s="0" t="str">
        <f aca="false">I102</f>
        <v>}\\</v>
      </c>
    </row>
    <row r="104" customFormat="false" ht="15" hidden="false" customHeight="false" outlineLevel="0" collapsed="false">
      <c r="A104" s="0" t="s">
        <v>111</v>
      </c>
      <c r="B104" s="0" t="s">
        <v>91</v>
      </c>
      <c r="C104" s="7" t="n">
        <v>17676</v>
      </c>
      <c r="D104" s="0" t="s">
        <v>91</v>
      </c>
      <c r="E104" s="14"/>
      <c r="F104" s="0" t="s">
        <v>91</v>
      </c>
      <c r="G104" s="0" t="str">
        <f aca="false">IF(H104&gt;0,"\textcolor{red}{+","\textcolor{OliveGreen}{")</f>
        <v>\textcolor{OliveGreen}{</v>
      </c>
      <c r="H104" s="8" t="n">
        <f aca="false">(E104-C104)/C104</f>
        <v>-1</v>
      </c>
      <c r="I104" s="0" t="str">
        <f aca="false">I103</f>
        <v>}\\</v>
      </c>
    </row>
    <row r="105" customFormat="false" ht="15" hidden="false" customHeight="false" outlineLevel="0" collapsed="false">
      <c r="A105" s="0" t="s">
        <v>112</v>
      </c>
      <c r="B105" s="0" t="s">
        <v>91</v>
      </c>
      <c r="C105" s="7" t="n">
        <v>2</v>
      </c>
      <c r="D105" s="0" t="s">
        <v>91</v>
      </c>
      <c r="E105" s="14"/>
      <c r="F105" s="0" t="s">
        <v>91</v>
      </c>
      <c r="G105" s="0" t="str">
        <f aca="false">IF(H105&gt;0,"\textcolor{red}{+","\textcolor{OliveGreen}{")</f>
        <v>\textcolor{OliveGreen}{</v>
      </c>
      <c r="H105" s="8" t="n">
        <f aca="false">(E105-C105)/C105</f>
        <v>-1</v>
      </c>
      <c r="I105" s="0" t="str">
        <f aca="false">I104</f>
        <v>}\\</v>
      </c>
    </row>
    <row r="106" customFormat="false" ht="15" hidden="false" customHeight="false" outlineLevel="0" collapsed="false">
      <c r="A106" s="0" t="s">
        <v>113</v>
      </c>
      <c r="B106" s="0" t="s">
        <v>91</v>
      </c>
      <c r="C106" s="7" t="n">
        <v>240</v>
      </c>
      <c r="D106" s="0" t="s">
        <v>91</v>
      </c>
      <c r="E106" s="14"/>
      <c r="F106" s="0" t="s">
        <v>91</v>
      </c>
      <c r="G106" s="0" t="str">
        <f aca="false">IF(H106&gt;0,"\textcolor{OliveGreen}{+","\textcolor{red}{")</f>
        <v>\textcolor{red}{</v>
      </c>
      <c r="H106" s="8" t="n">
        <f aca="false">(E106-C106)/C106</f>
        <v>-1</v>
      </c>
      <c r="I106" s="0" t="str">
        <f aca="false">I105</f>
        <v>}\\</v>
      </c>
    </row>
    <row r="107" customFormat="false" ht="15" hidden="false" customHeight="false" outlineLevel="0" collapsed="false">
      <c r="A107" s="0" t="s">
        <v>104</v>
      </c>
      <c r="B107" s="0" t="s">
        <v>91</v>
      </c>
      <c r="C107" s="15" t="n">
        <f aca="false">C101/C$106</f>
        <v>24.3166666666667</v>
      </c>
      <c r="D107" s="0" t="s">
        <v>91</v>
      </c>
      <c r="E107" s="16" t="n">
        <v>1</v>
      </c>
      <c r="F107" s="0" t="s">
        <v>91</v>
      </c>
      <c r="G107" s="0" t="str">
        <f aca="false">IF(H107&gt;0,"\textcolor{red}{+","\textcolor{OliveGreen}{")</f>
        <v>\textcolor{OliveGreen}{</v>
      </c>
      <c r="H107" s="8" t="n">
        <f aca="false">(E107-C107)/C107</f>
        <v>-0.958875942426319</v>
      </c>
      <c r="I107" s="0" t="str">
        <f aca="false">I104</f>
        <v>}\\</v>
      </c>
    </row>
    <row r="108" customFormat="false" ht="15" hidden="false" customHeight="false" outlineLevel="0" collapsed="false">
      <c r="A108" s="0" t="s">
        <v>105</v>
      </c>
      <c r="B108" s="0" t="s">
        <v>91</v>
      </c>
      <c r="C108" s="15" t="n">
        <f aca="false">C102/C$106</f>
        <v>33.3291666666667</v>
      </c>
      <c r="D108" s="0" t="s">
        <v>91</v>
      </c>
      <c r="E108" s="16" t="n">
        <v>1</v>
      </c>
      <c r="F108" s="0" t="s">
        <v>91</v>
      </c>
      <c r="G108" s="0" t="str">
        <f aca="false">IF(H108&gt;0,"\textcolor{red}{+","\textcolor{OliveGreen}{")</f>
        <v>\textcolor{OliveGreen}{</v>
      </c>
      <c r="H108" s="8" t="n">
        <f aca="false">(E108-C108)/C108</f>
        <v>-0.969996249531191</v>
      </c>
      <c r="I108" s="0" t="str">
        <f aca="false">I107</f>
        <v>}\\</v>
      </c>
    </row>
    <row r="109" customFormat="false" ht="15" hidden="false" customHeight="false" outlineLevel="0" collapsed="false">
      <c r="A109" s="0" t="s">
        <v>106</v>
      </c>
      <c r="B109" s="0" t="s">
        <v>91</v>
      </c>
      <c r="C109" s="7" t="n">
        <f aca="false">Results!B21</f>
        <v>69727</v>
      </c>
      <c r="D109" s="0" t="s">
        <v>91</v>
      </c>
      <c r="E109" s="7" t="n">
        <f aca="false">Results!B29</f>
        <v>50373</v>
      </c>
      <c r="F109" s="0" t="s">
        <v>91</v>
      </c>
      <c r="G109" s="0" t="str">
        <f aca="false">IF(H109&gt;0,"\textcolor{red}{+","\textcolor{OliveGreen}{")</f>
        <v>\textcolor{OliveGreen}{</v>
      </c>
      <c r="H109" s="8" t="n">
        <f aca="false">(E109-C109)/C109</f>
        <v>-0.277568230384213</v>
      </c>
      <c r="I109" s="0" t="str">
        <f aca="false">I108</f>
        <v>}\\</v>
      </c>
    </row>
    <row r="110" customFormat="false" ht="15" hidden="false" customHeight="false" outlineLevel="0" collapsed="false">
      <c r="A110" s="0" t="s">
        <v>107</v>
      </c>
      <c r="B110" s="0" t="s">
        <v>91</v>
      </c>
      <c r="C110" s="7" t="n">
        <f aca="false">Results!E21</f>
        <v>157660</v>
      </c>
      <c r="D110" s="0" t="s">
        <v>91</v>
      </c>
      <c r="E110" s="7" t="n">
        <f aca="false">Results!E29</f>
        <v>112311</v>
      </c>
      <c r="F110" s="0" t="s">
        <v>91</v>
      </c>
      <c r="G110" s="0" t="str">
        <f aca="false">IF(H110&gt;0,"\textcolor{red}{+","\textcolor{OliveGreen}{")</f>
        <v>\textcolor{OliveGreen}{</v>
      </c>
      <c r="H110" s="8" t="n">
        <f aca="false">(E110-C110)/C110</f>
        <v>-0.287637955093239</v>
      </c>
      <c r="I110" s="0" t="str">
        <f aca="false">I109</f>
        <v>}\\</v>
      </c>
    </row>
    <row r="111" customFormat="false" ht="15" hidden="false" customHeight="false" outlineLevel="0" collapsed="false">
      <c r="A111" s="0" t="s">
        <v>108</v>
      </c>
      <c r="B111" s="0" t="s">
        <v>91</v>
      </c>
      <c r="C111" s="7" t="n">
        <f aca="false">Results!D21</f>
        <v>6</v>
      </c>
      <c r="D111" s="0" t="s">
        <v>91</v>
      </c>
      <c r="E111" s="7" t="n">
        <f aca="false">Results!D29</f>
        <v>6</v>
      </c>
      <c r="F111" s="0" t="s">
        <v>91</v>
      </c>
      <c r="G111" s="0" t="str">
        <f aca="false">IF(H111&gt;0,"\textcolor{red}{+","\textcolor{OliveGreen}{")</f>
        <v>\textcolor{OliveGreen}{</v>
      </c>
      <c r="H111" s="8" t="n">
        <f aca="false">(E111-C111)/C111</f>
        <v>0</v>
      </c>
      <c r="I111" s="0" t="str">
        <f aca="false">I110</f>
        <v>}\\</v>
      </c>
    </row>
    <row r="112" customFormat="false" ht="15" hidden="false" customHeight="false" outlineLevel="0" collapsed="false">
      <c r="A112" s="0" t="s">
        <v>109</v>
      </c>
      <c r="B112" s="0" t="s">
        <v>91</v>
      </c>
      <c r="C112" s="7" t="n">
        <f aca="false">Results!F21</f>
        <v>187.55</v>
      </c>
      <c r="D112" s="0" t="s">
        <v>91</v>
      </c>
      <c r="E112" s="7" t="n">
        <f aca="false">Results!F29</f>
        <v>197.23</v>
      </c>
      <c r="F112" s="0" t="s">
        <v>91</v>
      </c>
      <c r="G112" s="0" t="str">
        <f aca="false">IF(H112&gt;0,"\textcolor{OliveGreen}{+","\textcolor{red}{")</f>
        <v>\textcolor{OliveGreen}{+</v>
      </c>
      <c r="H112" s="8" t="n">
        <f aca="false">(E112-C112)/C112</f>
        <v>0.0516129032258063</v>
      </c>
      <c r="I112" s="0" t="str">
        <f aca="false">I111</f>
        <v>}\\</v>
      </c>
    </row>
    <row r="113" customFormat="false" ht="15" hidden="false" customHeight="false" outlineLevel="0" collapsed="false">
      <c r="A113" s="0" t="s">
        <v>104</v>
      </c>
      <c r="B113" s="0" t="s">
        <v>91</v>
      </c>
      <c r="C113" s="15" t="n">
        <f aca="false">C101/(C$112)</f>
        <v>31.1170354572114</v>
      </c>
      <c r="D113" s="0" t="s">
        <v>91</v>
      </c>
      <c r="E113" s="15" t="n">
        <f aca="false">E101/E$112</f>
        <v>22.8616336257162</v>
      </c>
      <c r="F113" s="0" t="s">
        <v>91</v>
      </c>
      <c r="G113" s="0" t="str">
        <f aca="false">IF(H113&gt;0,"\textcolor{red}{+","\textcolor{OliveGreen}{")</f>
        <v>\textcolor{OliveGreen}{</v>
      </c>
      <c r="H113" s="8" t="n">
        <f aca="false">(E113-C113)/C113</f>
        <v>-0.265301681545053</v>
      </c>
      <c r="I113" s="0" t="str">
        <f aca="false">I110</f>
        <v>}\\</v>
      </c>
    </row>
    <row r="114" customFormat="false" ht="15" hidden="false" customHeight="false" outlineLevel="0" collapsed="false">
      <c r="A114" s="0" t="s">
        <v>105</v>
      </c>
      <c r="B114" s="0" t="s">
        <v>91</v>
      </c>
      <c r="C114" s="15" t="n">
        <f aca="false">C102/(C$112)</f>
        <v>42.6499600106638</v>
      </c>
      <c r="D114" s="0" t="s">
        <v>91</v>
      </c>
      <c r="E114" s="15" t="n">
        <f aca="false">E102/E$112</f>
        <v>31.9474724940425</v>
      </c>
      <c r="F114" s="0" t="s">
        <v>91</v>
      </c>
      <c r="G114" s="0" t="str">
        <f aca="false">IF(H114&gt;0,"\textcolor{red}{+","\textcolor{OliveGreen}{")</f>
        <v>\textcolor{OliveGreen}{</v>
      </c>
      <c r="H114" s="8" t="n">
        <f aca="false">(E114-C114)/C114</f>
        <v>-0.250937808943909</v>
      </c>
      <c r="I114" s="0" t="str">
        <f aca="false">I113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2" activeCellId="1" sqref="S90:S101 A2"/>
    </sheetView>
  </sheetViews>
  <sheetFormatPr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8.57"/>
    <col collapsed="false" customWidth="true" hidden="false" outlineLevel="0" max="3" min="3" style="7" width="8.57"/>
    <col collapsed="false" customWidth="true" hidden="false" outlineLevel="0" max="4" min="4" style="0" width="8.57"/>
    <col collapsed="false" customWidth="true" hidden="false" outlineLevel="0" max="5" min="5" style="7" width="8.57"/>
    <col collapsed="false" customWidth="true" hidden="false" outlineLevel="0" max="6" min="6" style="0" width="8.57"/>
    <col collapsed="false" customWidth="true" hidden="false" outlineLevel="0" max="7" min="7" style="0" width="17"/>
    <col collapsed="false" customWidth="true" hidden="false" outlineLevel="0" max="13" min="8" style="8" width="9.28"/>
    <col collapsed="false" customWidth="true" hidden="false" outlineLevel="0" max="14" min="14" style="8" width="17.57"/>
    <col collapsed="false" customWidth="true" hidden="false" outlineLevel="0" max="15" min="15" style="8" width="18.71"/>
    <col collapsed="false" customWidth="true" hidden="false" outlineLevel="0" max="1025" min="16" style="0" width="8.57"/>
  </cols>
  <sheetData>
    <row r="1" s="12" customFormat="true" ht="15" hidden="false" customHeight="false" outlineLevel="0" collapsed="false">
      <c r="A1" s="9" t="s">
        <v>90</v>
      </c>
      <c r="B1" s="9" t="s">
        <v>91</v>
      </c>
      <c r="C1" s="10" t="str">
        <f aca="false">Cycle_estimation!A20</f>
        <v>1KEM_0d</v>
      </c>
      <c r="D1" s="9" t="s">
        <v>91</v>
      </c>
      <c r="E1" s="10" t="str">
        <f aca="false">Cycle_estimation_with_XEf!A20</f>
        <v>1KEM_5d</v>
      </c>
      <c r="F1" s="9" t="s">
        <v>91</v>
      </c>
      <c r="G1" s="9"/>
      <c r="H1" s="11" t="s">
        <v>92</v>
      </c>
      <c r="I1" s="11" t="s">
        <v>91</v>
      </c>
      <c r="J1" s="10" t="s">
        <v>13</v>
      </c>
      <c r="K1" s="9" t="s">
        <v>91</v>
      </c>
      <c r="L1" s="10" t="s">
        <v>78</v>
      </c>
      <c r="M1" s="9" t="s">
        <v>91</v>
      </c>
      <c r="N1" s="11" t="s">
        <v>92</v>
      </c>
      <c r="O1" s="17" t="s">
        <v>114</v>
      </c>
    </row>
    <row r="2" customFormat="false" ht="15" hidden="false" customHeight="false" outlineLevel="0" collapsed="false">
      <c r="A2" s="13" t="s">
        <v>93</v>
      </c>
      <c r="B2" s="0" t="s">
        <v>91</v>
      </c>
      <c r="C2" s="7" t="n">
        <v>618</v>
      </c>
      <c r="D2" s="0" t="s">
        <v>91</v>
      </c>
      <c r="E2" s="7" t="n">
        <v>490</v>
      </c>
      <c r="F2" s="0" t="s">
        <v>91</v>
      </c>
      <c r="G2" s="0" t="str">
        <f aca="false">IF(H2&gt;0,"\textcolor{red}{+","\textcolor{OliveGreen}{")</f>
        <v>\textcolor{OliveGreen}{</v>
      </c>
      <c r="H2" s="8" t="n">
        <f aca="false">(E2-C2)/C2</f>
        <v>-0.207119741100324</v>
      </c>
      <c r="I2" s="8" t="s">
        <v>115</v>
      </c>
      <c r="J2" s="7" t="n">
        <v>586</v>
      </c>
      <c r="K2" s="8" t="s">
        <v>91</v>
      </c>
      <c r="L2" s="7" t="n">
        <v>508</v>
      </c>
      <c r="M2" s="8" t="s">
        <v>91</v>
      </c>
      <c r="N2" s="8" t="s">
        <v>116</v>
      </c>
      <c r="O2" s="8" t="n">
        <f aca="false">(L2-J2)/J2</f>
        <v>-0.133105802047782</v>
      </c>
      <c r="P2" s="0" t="s">
        <v>94</v>
      </c>
    </row>
    <row r="3" customFormat="false" ht="15" hidden="false" customHeight="false" outlineLevel="0" collapsed="false">
      <c r="A3" s="13" t="s">
        <v>95</v>
      </c>
      <c r="B3" s="0" t="s">
        <v>91</v>
      </c>
      <c r="C3" s="7" t="n">
        <v>634</v>
      </c>
      <c r="D3" s="0" t="s">
        <v>91</v>
      </c>
      <c r="E3" s="7" t="n">
        <v>445</v>
      </c>
      <c r="F3" s="0" t="s">
        <v>91</v>
      </c>
      <c r="G3" s="0" t="str">
        <f aca="false">IF(H3&gt;0,"\textcolor{red}{+","\textcolor{OliveGreen}{")</f>
        <v>\textcolor{OliveGreen}{</v>
      </c>
      <c r="H3" s="8" t="n">
        <f aca="false">(E3-C3)/C3</f>
        <v>-0.298107255520505</v>
      </c>
      <c r="I3" s="8" t="s">
        <v>115</v>
      </c>
      <c r="J3" s="7" t="n">
        <v>676</v>
      </c>
      <c r="K3" s="8" t="s">
        <v>91</v>
      </c>
      <c r="L3" s="7" t="n">
        <v>461</v>
      </c>
      <c r="M3" s="8" t="s">
        <v>91</v>
      </c>
      <c r="N3" s="8" t="s">
        <v>116</v>
      </c>
      <c r="O3" s="8" t="n">
        <f aca="false">(L3-J3)/J3</f>
        <v>-0.318047337278107</v>
      </c>
      <c r="P3" s="0" t="s">
        <v>94</v>
      </c>
    </row>
    <row r="4" customFormat="false" ht="15" hidden="false" customHeight="false" outlineLevel="0" collapsed="false">
      <c r="A4" s="13" t="s">
        <v>96</v>
      </c>
      <c r="B4" s="0" t="s">
        <v>91</v>
      </c>
      <c r="C4" s="7" t="n">
        <v>16</v>
      </c>
      <c r="D4" s="0" t="s">
        <v>91</v>
      </c>
      <c r="E4" s="7" t="n">
        <v>16</v>
      </c>
      <c r="F4" s="0" t="s">
        <v>91</v>
      </c>
      <c r="G4" s="0" t="str">
        <f aca="false">IF(H4&gt;0,"\textcolor{red}{+","\textcolor{OliveGreen}{")</f>
        <v>\textcolor{OliveGreen}{</v>
      </c>
      <c r="H4" s="8" t="n">
        <f aca="false">(E4-C4)/C4</f>
        <v>0</v>
      </c>
      <c r="I4" s="8" t="s">
        <v>115</v>
      </c>
      <c r="J4" s="7" t="n">
        <v>708</v>
      </c>
      <c r="K4" s="8" t="s">
        <v>91</v>
      </c>
      <c r="L4" s="7" t="n">
        <v>493</v>
      </c>
      <c r="M4" s="8" t="s">
        <v>91</v>
      </c>
      <c r="N4" s="8" t="s">
        <v>116</v>
      </c>
      <c r="O4" s="8" t="n">
        <f aca="false">(L4-J4)/J4</f>
        <v>-0.303672316384181</v>
      </c>
      <c r="P4" s="0" t="s">
        <v>94</v>
      </c>
    </row>
    <row r="5" customFormat="false" ht="15" hidden="false" customHeight="false" outlineLevel="0" collapsed="false">
      <c r="A5" s="13" t="s">
        <v>97</v>
      </c>
      <c r="B5" s="0" t="s">
        <v>91</v>
      </c>
      <c r="C5" s="7" t="n">
        <v>682</v>
      </c>
      <c r="D5" s="0" t="s">
        <v>91</v>
      </c>
      <c r="E5" s="7" t="n">
        <v>549</v>
      </c>
      <c r="F5" s="0" t="s">
        <v>91</v>
      </c>
      <c r="G5" s="0" t="str">
        <f aca="false">IF(H5&gt;0,"\textcolor{red}{+","\textcolor{OliveGreen}{")</f>
        <v>\textcolor{OliveGreen}{</v>
      </c>
      <c r="H5" s="8" t="n">
        <f aca="false">(E5-C5)/C5</f>
        <v>-0.195014662756598</v>
      </c>
      <c r="I5" s="8" t="s">
        <v>115</v>
      </c>
      <c r="J5" s="7" t="n">
        <v>756</v>
      </c>
      <c r="K5" s="8" t="s">
        <v>91</v>
      </c>
      <c r="L5" s="7" t="n">
        <v>636</v>
      </c>
      <c r="M5" s="8" t="s">
        <v>91</v>
      </c>
      <c r="N5" s="8" t="s">
        <v>116</v>
      </c>
      <c r="O5" s="8" t="n">
        <f aca="false">(L5-J5)/J5</f>
        <v>-0.158730158730159</v>
      </c>
      <c r="P5" s="0" t="s">
        <v>94</v>
      </c>
    </row>
    <row r="6" customFormat="false" ht="15" hidden="false" customHeight="false" outlineLevel="0" collapsed="false">
      <c r="A6" s="0" t="s">
        <v>98</v>
      </c>
      <c r="B6" s="0" t="s">
        <v>91</v>
      </c>
      <c r="C6" s="7" t="n">
        <f aca="false">Cycle_estimation!B20</f>
        <v>2985</v>
      </c>
      <c r="D6" s="0" t="s">
        <v>91</v>
      </c>
      <c r="E6" s="7" t="n">
        <f aca="false">Cycle_estimation_with_XEf!B20</f>
        <v>2219</v>
      </c>
      <c r="F6" s="0" t="s">
        <v>91</v>
      </c>
      <c r="G6" s="0" t="str">
        <f aca="false">IF(H6&gt;0,"\textcolor{red}{+","\textcolor{OliveGreen}{")</f>
        <v>\textcolor{OliveGreen}{</v>
      </c>
      <c r="H6" s="8" t="n">
        <f aca="false">(E6-C6)/C6</f>
        <v>-0.256616415410385</v>
      </c>
      <c r="I6" s="8" t="s">
        <v>115</v>
      </c>
      <c r="J6" s="7" t="n">
        <v>2990</v>
      </c>
      <c r="K6" s="8" t="s">
        <v>91</v>
      </c>
      <c r="L6" s="7" t="n">
        <v>2423</v>
      </c>
      <c r="M6" s="8" t="s">
        <v>91</v>
      </c>
      <c r="N6" s="8" t="s">
        <v>116</v>
      </c>
      <c r="O6" s="8" t="n">
        <f aca="false">(L6-J6)/J6</f>
        <v>-0.189632107023411</v>
      </c>
      <c r="P6" s="0" t="s">
        <v>94</v>
      </c>
    </row>
    <row r="7" customFormat="false" ht="15" hidden="false" customHeight="false" outlineLevel="0" collapsed="false">
      <c r="A7" s="0" t="s">
        <v>99</v>
      </c>
      <c r="B7" s="0" t="s">
        <v>91</v>
      </c>
      <c r="C7" s="7" t="n">
        <f aca="false">Cycle_estimation!C20</f>
        <v>1480</v>
      </c>
      <c r="D7" s="0" t="s">
        <v>91</v>
      </c>
      <c r="E7" s="7" t="n">
        <f aca="false">Cycle_estimation_with_XEf!C20</f>
        <v>1200</v>
      </c>
      <c r="F7" s="0" t="s">
        <v>91</v>
      </c>
      <c r="G7" s="0" t="str">
        <f aca="false">IF(H7&gt;0,"\textcolor{red}{+","\textcolor{OliveGreen}{")</f>
        <v>\textcolor{OliveGreen}{</v>
      </c>
      <c r="H7" s="8" t="n">
        <f aca="false">(E7-C7)/C7</f>
        <v>-0.189189189189189</v>
      </c>
      <c r="I7" s="8" t="s">
        <v>115</v>
      </c>
      <c r="J7" s="7" t="n">
        <v>4063</v>
      </c>
      <c r="K7" s="8" t="s">
        <v>91</v>
      </c>
      <c r="L7" s="7" t="n">
        <v>3395</v>
      </c>
      <c r="M7" s="8" t="s">
        <v>91</v>
      </c>
      <c r="N7" s="8" t="s">
        <v>116</v>
      </c>
      <c r="O7" s="8" t="n">
        <f aca="false">(L7-J7)/J7</f>
        <v>-0.164410534088112</v>
      </c>
      <c r="P7" s="0" t="str">
        <f aca="false">P6</f>
        <v>}\\</v>
      </c>
    </row>
    <row r="8" customFormat="false" ht="15" hidden="false" customHeight="false" outlineLevel="0" collapsed="false">
      <c r="A8" s="0" t="s">
        <v>110</v>
      </c>
      <c r="B8" s="0" t="s">
        <v>91</v>
      </c>
      <c r="C8" s="7" t="n">
        <v>45521</v>
      </c>
      <c r="D8" s="0" t="s">
        <v>91</v>
      </c>
      <c r="E8" s="7" t="n">
        <v>36436</v>
      </c>
      <c r="F8" s="0" t="s">
        <v>91</v>
      </c>
      <c r="G8" s="0" t="str">
        <f aca="false">IF(H8&gt;0,"\textcolor{red}{+","\textcolor{OliveGreen}{")</f>
        <v>\textcolor{OliveGreen}{</v>
      </c>
      <c r="H8" s="8" t="n">
        <f aca="false">(E8-C8)/C8</f>
        <v>-0.199578216647262</v>
      </c>
      <c r="I8" s="8" t="s">
        <v>115</v>
      </c>
      <c r="J8" s="7" t="n">
        <v>52587</v>
      </c>
      <c r="K8" s="8" t="s">
        <v>91</v>
      </c>
      <c r="L8" s="7" t="n">
        <v>38749</v>
      </c>
      <c r="M8" s="8" t="s">
        <v>91</v>
      </c>
      <c r="N8" s="8" t="s">
        <v>116</v>
      </c>
      <c r="O8" s="8" t="n">
        <f aca="false">(L8-J8)/J8</f>
        <v>-0.263144883716508</v>
      </c>
      <c r="P8" s="0" t="str">
        <f aca="false">P7</f>
        <v>}\\</v>
      </c>
    </row>
    <row r="9" customFormat="false" ht="15" hidden="false" customHeight="false" outlineLevel="0" collapsed="false">
      <c r="A9" s="0" t="s">
        <v>111</v>
      </c>
      <c r="B9" s="0" t="s">
        <v>91</v>
      </c>
      <c r="C9" s="7" t="n">
        <v>10032</v>
      </c>
      <c r="D9" s="0" t="s">
        <v>91</v>
      </c>
      <c r="E9" s="7" t="n">
        <v>7464</v>
      </c>
      <c r="F9" s="0" t="s">
        <v>91</v>
      </c>
      <c r="G9" s="0" t="str">
        <f aca="false">IF(H9&gt;0,"\textcolor{red}{+","\textcolor{OliveGreen}{")</f>
        <v>\textcolor{OliveGreen}{</v>
      </c>
      <c r="H9" s="8" t="n">
        <f aca="false">(E9-C9)/C9</f>
        <v>-0.255980861244019</v>
      </c>
      <c r="I9" s="8" t="s">
        <v>115</v>
      </c>
      <c r="J9" s="7" t="n">
        <v>10674</v>
      </c>
      <c r="K9" s="8" t="s">
        <v>91</v>
      </c>
      <c r="L9" s="7" t="n">
        <v>8099</v>
      </c>
      <c r="M9" s="8" t="s">
        <v>91</v>
      </c>
      <c r="N9" s="8" t="s">
        <v>116</v>
      </c>
      <c r="O9" s="8" t="n">
        <f aca="false">(L9-J9)/J9</f>
        <v>-0.241240397226906</v>
      </c>
      <c r="P9" s="0" t="str">
        <f aca="false">P8</f>
        <v>}\\</v>
      </c>
    </row>
    <row r="10" customFormat="false" ht="15" hidden="false" customHeight="false" outlineLevel="0" collapsed="false">
      <c r="A10" s="0" t="s">
        <v>112</v>
      </c>
      <c r="B10" s="0" t="s">
        <v>91</v>
      </c>
      <c r="C10" s="7" t="n">
        <v>2</v>
      </c>
      <c r="D10" s="0" t="s">
        <v>91</v>
      </c>
      <c r="E10" s="7" t="n">
        <v>2</v>
      </c>
      <c r="F10" s="0" t="s">
        <v>91</v>
      </c>
      <c r="G10" s="0" t="str">
        <f aca="false">IF(H10&gt;0,"\textcolor{red}{+","\textcolor{OliveGreen}{")</f>
        <v>\textcolor{OliveGreen}{</v>
      </c>
      <c r="H10" s="8" t="n">
        <f aca="false">(E10-C10)/C10</f>
        <v>0</v>
      </c>
      <c r="I10" s="8" t="s">
        <v>115</v>
      </c>
      <c r="J10" s="7" t="n">
        <v>2</v>
      </c>
      <c r="K10" s="8" t="s">
        <v>91</v>
      </c>
      <c r="L10" s="7" t="n">
        <v>2</v>
      </c>
      <c r="M10" s="8" t="s">
        <v>91</v>
      </c>
      <c r="N10" s="8" t="s">
        <v>116</v>
      </c>
      <c r="O10" s="8" t="n">
        <f aca="false">(L10-J10)/J10</f>
        <v>0</v>
      </c>
      <c r="P10" s="0" t="str">
        <f aca="false">P9</f>
        <v>}\\</v>
      </c>
    </row>
    <row r="11" customFormat="false" ht="15" hidden="false" customHeight="false" outlineLevel="0" collapsed="false">
      <c r="A11" s="0" t="s">
        <v>117</v>
      </c>
      <c r="B11" s="0" t="s">
        <v>91</v>
      </c>
      <c r="C11" s="7" t="n">
        <v>260</v>
      </c>
      <c r="D11" s="0" t="s">
        <v>91</v>
      </c>
      <c r="E11" s="7" t="n">
        <v>230</v>
      </c>
      <c r="F11" s="0" t="s">
        <v>91</v>
      </c>
      <c r="G11" s="0" t="str">
        <f aca="false">IF(H11&gt;0,"\textcolor{OliveGreen}{+","\textcolor{red}{")</f>
        <v>\textcolor{red}{</v>
      </c>
      <c r="H11" s="8" t="n">
        <f aca="false">(E11-C11)/C11</f>
        <v>-0.115384615384615</v>
      </c>
      <c r="I11" s="8" t="s">
        <v>115</v>
      </c>
      <c r="J11" s="7" t="n">
        <v>260</v>
      </c>
      <c r="K11" s="8" t="s">
        <v>91</v>
      </c>
      <c r="L11" s="7" t="n">
        <v>225</v>
      </c>
      <c r="M11" s="8" t="s">
        <v>91</v>
      </c>
      <c r="N11" s="8" t="s">
        <v>118</v>
      </c>
      <c r="O11" s="8" t="n">
        <f aca="false">(L11-J11)/J11</f>
        <v>-0.134615384615385</v>
      </c>
      <c r="P11" s="0" t="str">
        <f aca="false">P10</f>
        <v>}\\</v>
      </c>
    </row>
    <row r="12" customFormat="false" ht="15" hidden="false" customHeight="false" outlineLevel="0" collapsed="false">
      <c r="A12" s="0" t="s">
        <v>104</v>
      </c>
      <c r="B12" s="0" t="s">
        <v>91</v>
      </c>
      <c r="C12" s="15" t="n">
        <f aca="false">C6/(C$11)</f>
        <v>11.4807692307692</v>
      </c>
      <c r="D12" s="0" t="s">
        <v>91</v>
      </c>
      <c r="E12" s="15" t="n">
        <f aca="false">E6/E11</f>
        <v>9.64782608695652</v>
      </c>
      <c r="F12" s="0" t="s">
        <v>91</v>
      </c>
      <c r="G12" s="0" t="str">
        <f aca="false">IF(H12&gt;0,"\textcolor{red}{+","\textcolor{OliveGreen}{")</f>
        <v>\textcolor{OliveGreen}{</v>
      </c>
      <c r="H12" s="8" t="n">
        <f aca="false">(E12-C12)/C12</f>
        <v>-0.159653339159566</v>
      </c>
      <c r="I12" s="8" t="s">
        <v>115</v>
      </c>
      <c r="J12" s="15" t="n">
        <v>11.5</v>
      </c>
      <c r="K12" s="8" t="s">
        <v>91</v>
      </c>
      <c r="L12" s="15" t="n">
        <f aca="false">L6/L11</f>
        <v>10.7688888888889</v>
      </c>
      <c r="M12" s="8" t="s">
        <v>91</v>
      </c>
      <c r="N12" s="8" t="s">
        <v>116</v>
      </c>
      <c r="O12" s="8" t="n">
        <f aca="false">(L12-J12)/J12</f>
        <v>-0.0635748792270532</v>
      </c>
      <c r="P12" s="0" t="str">
        <f aca="false">P9</f>
        <v>}\\</v>
      </c>
    </row>
    <row r="13" customFormat="false" ht="15" hidden="false" customHeight="false" outlineLevel="0" collapsed="false">
      <c r="A13" s="0" t="s">
        <v>105</v>
      </c>
      <c r="B13" s="0" t="s">
        <v>91</v>
      </c>
      <c r="C13" s="15" t="n">
        <f aca="false">C7/(C$11)</f>
        <v>5.69230769230769</v>
      </c>
      <c r="D13" s="0" t="s">
        <v>91</v>
      </c>
      <c r="E13" s="15" t="n">
        <f aca="false">E7/E11</f>
        <v>5.21739130434783</v>
      </c>
      <c r="F13" s="0" t="s">
        <v>91</v>
      </c>
      <c r="G13" s="0" t="str">
        <f aca="false">IF(H13&gt;0,"\textcolor{red}{+","\textcolor{OliveGreen}{")</f>
        <v>\textcolor{OliveGreen}{</v>
      </c>
      <c r="H13" s="8" t="n">
        <f aca="false">(E13-C13)/C13</f>
        <v>-0.0834312573443009</v>
      </c>
      <c r="I13" s="8" t="s">
        <v>115</v>
      </c>
      <c r="J13" s="15" t="n">
        <v>15.6269230769231</v>
      </c>
      <c r="K13" s="8" t="s">
        <v>91</v>
      </c>
      <c r="L13" s="15" t="n">
        <f aca="false">L7/L11</f>
        <v>15.0888888888889</v>
      </c>
      <c r="M13" s="8" t="s">
        <v>91</v>
      </c>
      <c r="N13" s="8" t="s">
        <v>116</v>
      </c>
      <c r="O13" s="8" t="n">
        <f aca="false">(L13-J13)/J13</f>
        <v>-0.03442995050182</v>
      </c>
      <c r="P13" s="0" t="str">
        <f aca="false">P12</f>
        <v>}\\</v>
      </c>
    </row>
    <row r="14" customFormat="false" ht="15" hidden="false" customHeight="false" outlineLevel="0" collapsed="false">
      <c r="A14" s="0" t="s">
        <v>106</v>
      </c>
      <c r="B14" s="0" t="s">
        <v>91</v>
      </c>
      <c r="C14" s="7" t="n">
        <f aca="false">Results!B16</f>
        <v>33036</v>
      </c>
      <c r="D14" s="0" t="s">
        <v>91</v>
      </c>
      <c r="E14" s="7" t="n">
        <f aca="false">Results!B24</f>
        <v>24192</v>
      </c>
      <c r="F14" s="0" t="s">
        <v>91</v>
      </c>
      <c r="G14" s="0" t="str">
        <f aca="false">IF(H14&gt;0,"\textcolor{red}{+","\textcolor{OliveGreen}{")</f>
        <v>\textcolor{OliveGreen}{</v>
      </c>
      <c r="H14" s="8" t="n">
        <f aca="false">(E14-C14)/C14</f>
        <v>-0.267707954958227</v>
      </c>
      <c r="I14" s="8" t="s">
        <v>115</v>
      </c>
      <c r="J14" s="7" t="n">
        <v>37252</v>
      </c>
      <c r="K14" s="8" t="s">
        <v>91</v>
      </c>
      <c r="L14" s="7" t="n">
        <v>26998</v>
      </c>
      <c r="M14" s="8" t="s">
        <v>91</v>
      </c>
      <c r="N14" s="8" t="s">
        <v>116</v>
      </c>
      <c r="O14" s="8" t="n">
        <f aca="false">(L14-J14)/J14</f>
        <v>-0.275260388703962</v>
      </c>
      <c r="P14" s="0" t="str">
        <f aca="false">P13</f>
        <v>}\\</v>
      </c>
    </row>
    <row r="15" customFormat="false" ht="15" hidden="false" customHeight="false" outlineLevel="0" collapsed="false">
      <c r="A15" s="0" t="s">
        <v>107</v>
      </c>
      <c r="B15" s="0" t="s">
        <v>91</v>
      </c>
      <c r="C15" s="7" t="n">
        <f aca="false">Results!E16</f>
        <v>74321</v>
      </c>
      <c r="D15" s="0" t="s">
        <v>91</v>
      </c>
      <c r="E15" s="7" t="n">
        <f aca="false">Results!E24</f>
        <v>54985</v>
      </c>
      <c r="F15" s="0" t="s">
        <v>91</v>
      </c>
      <c r="G15" s="0" t="str">
        <f aca="false">IF(H15&gt;0,"\textcolor{red}{+","\textcolor{OliveGreen}{")</f>
        <v>\textcolor{OliveGreen}{</v>
      </c>
      <c r="H15" s="8" t="n">
        <f aca="false">(E15-C15)/C15</f>
        <v>-0.260168727546723</v>
      </c>
      <c r="I15" s="8" t="s">
        <v>115</v>
      </c>
      <c r="J15" s="7" t="n">
        <v>82814</v>
      </c>
      <c r="K15" s="8" t="s">
        <v>91</v>
      </c>
      <c r="L15" s="7" t="n">
        <v>57028</v>
      </c>
      <c r="M15" s="8" t="s">
        <v>91</v>
      </c>
      <c r="N15" s="8" t="s">
        <v>116</v>
      </c>
      <c r="O15" s="8" t="n">
        <f aca="false">(L15-J15)/J15</f>
        <v>-0.311372473253315</v>
      </c>
      <c r="P15" s="0" t="str">
        <f aca="false">P14</f>
        <v>}\\</v>
      </c>
    </row>
    <row r="16" customFormat="false" ht="15" hidden="false" customHeight="false" outlineLevel="0" collapsed="false">
      <c r="A16" s="0" t="s">
        <v>108</v>
      </c>
      <c r="B16" s="0" t="s">
        <v>91</v>
      </c>
      <c r="C16" s="7" t="n">
        <f aca="false">Results!D16</f>
        <v>4</v>
      </c>
      <c r="D16" s="0" t="s">
        <v>91</v>
      </c>
      <c r="E16" s="7" t="n">
        <f aca="false">Results!D24</f>
        <v>4</v>
      </c>
      <c r="F16" s="0" t="s">
        <v>91</v>
      </c>
      <c r="G16" s="0" t="str">
        <f aca="false">IF(H16&gt;0,"\textcolor{red}{+","\textcolor{OliveGreen}{")</f>
        <v>\textcolor{OliveGreen}{</v>
      </c>
      <c r="H16" s="8" t="n">
        <f aca="false">(E16-C16)/C16</f>
        <v>0</v>
      </c>
      <c r="I16" s="8" t="s">
        <v>115</v>
      </c>
      <c r="J16" s="7" t="n">
        <v>6</v>
      </c>
      <c r="K16" s="8" t="s">
        <v>91</v>
      </c>
      <c r="L16" s="7" t="n">
        <v>6</v>
      </c>
      <c r="M16" s="8" t="s">
        <v>91</v>
      </c>
      <c r="N16" s="8" t="s">
        <v>116</v>
      </c>
      <c r="O16" s="8" t="n">
        <f aca="false">(L16-J16)/J16</f>
        <v>0</v>
      </c>
      <c r="P16" s="0" t="str">
        <f aca="false">P15</f>
        <v>}\\</v>
      </c>
    </row>
    <row r="17" customFormat="false" ht="15" hidden="false" customHeight="false" outlineLevel="0" collapsed="false">
      <c r="A17" s="0" t="s">
        <v>109</v>
      </c>
      <c r="B17" s="0" t="s">
        <v>91</v>
      </c>
      <c r="C17" s="7" t="n">
        <f aca="false">Results!F16</f>
        <v>192.42</v>
      </c>
      <c r="D17" s="0" t="s">
        <v>91</v>
      </c>
      <c r="E17" s="7" t="n">
        <f aca="false">Results!F24</f>
        <v>219.88</v>
      </c>
      <c r="F17" s="0" t="s">
        <v>91</v>
      </c>
      <c r="G17" s="0" t="str">
        <f aca="false">IF(H17&gt;0,"\textcolor{OliveGreen}{+","\textcolor{red}{")</f>
        <v>\textcolor{OliveGreen}{+</v>
      </c>
      <c r="H17" s="8" t="n">
        <f aca="false">(E17-C17)/C17</f>
        <v>0.142708658143644</v>
      </c>
      <c r="I17" s="8" t="s">
        <v>115</v>
      </c>
      <c r="J17" s="7" t="n">
        <v>191.09</v>
      </c>
      <c r="K17" s="8" t="s">
        <v>91</v>
      </c>
      <c r="L17" s="7" t="n">
        <v>193.57</v>
      </c>
      <c r="M17" s="8" t="s">
        <v>91</v>
      </c>
      <c r="N17" s="8" t="s">
        <v>119</v>
      </c>
      <c r="O17" s="8" t="n">
        <f aca="false">(L17-J17)/J17</f>
        <v>0.0129781778219687</v>
      </c>
      <c r="P17" s="0" t="str">
        <f aca="false">P16</f>
        <v>}\\</v>
      </c>
    </row>
    <row r="18" customFormat="false" ht="15" hidden="false" customHeight="false" outlineLevel="0" collapsed="false">
      <c r="A18" s="0" t="s">
        <v>104</v>
      </c>
      <c r="B18" s="0" t="s">
        <v>91</v>
      </c>
      <c r="C18" s="15" t="n">
        <f aca="false">C6/(C$17)</f>
        <v>15.5129404427814</v>
      </c>
      <c r="D18" s="0" t="s">
        <v>91</v>
      </c>
      <c r="E18" s="15" t="n">
        <f aca="false">E6/E$17</f>
        <v>10.0918682917955</v>
      </c>
      <c r="F18" s="0" t="s">
        <v>91</v>
      </c>
      <c r="G18" s="0" t="str">
        <f aca="false">IF(H18&gt;0,"\textcolor{red}{+","\textcolor{OliveGreen}{")</f>
        <v>\textcolor{OliveGreen}{</v>
      </c>
      <c r="H18" s="8" t="n">
        <f aca="false">(E18-C18)/C18</f>
        <v>-0.349454841974106</v>
      </c>
      <c r="I18" s="8" t="s">
        <v>115</v>
      </c>
      <c r="J18" s="15" t="n">
        <v>15.6470772934219</v>
      </c>
      <c r="K18" s="8" t="s">
        <v>91</v>
      </c>
      <c r="L18" s="15" t="n">
        <v>12.5174355530299</v>
      </c>
      <c r="M18" s="8" t="s">
        <v>91</v>
      </c>
      <c r="N18" s="8" t="s">
        <v>116</v>
      </c>
      <c r="O18" s="8" t="n">
        <f aca="false">(L18-J18)/J18</f>
        <v>-0.200014461595822</v>
      </c>
      <c r="P18" s="0" t="str">
        <f aca="false">P15</f>
        <v>}\\</v>
      </c>
    </row>
    <row r="19" customFormat="false" ht="15" hidden="false" customHeight="false" outlineLevel="0" collapsed="false">
      <c r="A19" s="0" t="s">
        <v>105</v>
      </c>
      <c r="B19" s="0" t="s">
        <v>91</v>
      </c>
      <c r="C19" s="15" t="n">
        <f aca="false">C7/(C$17)</f>
        <v>7.69150815923501</v>
      </c>
      <c r="D19" s="0" t="s">
        <v>91</v>
      </c>
      <c r="E19" s="15" t="n">
        <f aca="false">E7/E$17</f>
        <v>5.45752228488266</v>
      </c>
      <c r="F19" s="0" t="s">
        <v>91</v>
      </c>
      <c r="G19" s="0" t="str">
        <f aca="false">IF(H19&gt;0,"\textcolor{red}{+","\textcolor{OliveGreen}{")</f>
        <v>\textcolor{OliveGreen}{</v>
      </c>
      <c r="H19" s="8" t="n">
        <f aca="false">(E19-C19)/C19</f>
        <v>-0.290448352664107</v>
      </c>
      <c r="I19" s="8" t="s">
        <v>115</v>
      </c>
      <c r="J19" s="15" t="n">
        <v>21.2622324559108</v>
      </c>
      <c r="K19" s="8" t="s">
        <v>91</v>
      </c>
      <c r="L19" s="15" t="n">
        <v>17.5388748256445</v>
      </c>
      <c r="M19" s="8" t="s">
        <v>91</v>
      </c>
      <c r="N19" s="8" t="s">
        <v>116</v>
      </c>
      <c r="O19" s="8" t="n">
        <f aca="false">(L19-J19)/J19</f>
        <v>-0.175116024998176</v>
      </c>
      <c r="P19" s="0" t="str">
        <f aca="false">P18</f>
        <v>}\\</v>
      </c>
    </row>
    <row r="20" s="12" customFormat="true" ht="15" hidden="false" customHeight="false" outlineLevel="0" collapsed="false">
      <c r="A20" s="9" t="s">
        <v>90</v>
      </c>
      <c r="B20" s="9" t="s">
        <v>91</v>
      </c>
      <c r="C20" s="10" t="str">
        <f aca="false">Cycle_estimation!A21</f>
        <v>3KEM_0d</v>
      </c>
      <c r="D20" s="9" t="s">
        <v>91</v>
      </c>
      <c r="E20" s="10" t="str">
        <f aca="false">Cycle_estimation_with_XEf!A21</f>
        <v>3KEM_5d</v>
      </c>
      <c r="F20" s="9" t="s">
        <v>91</v>
      </c>
      <c r="H20" s="11" t="s">
        <v>92</v>
      </c>
      <c r="I20" s="11" t="s">
        <v>91</v>
      </c>
      <c r="J20" s="10" t="s">
        <v>14</v>
      </c>
      <c r="K20" s="9" t="s">
        <v>91</v>
      </c>
      <c r="L20" s="10" t="s">
        <v>79</v>
      </c>
      <c r="M20" s="9" t="s">
        <v>91</v>
      </c>
      <c r="N20" s="11" t="s">
        <v>92</v>
      </c>
      <c r="O20" s="18" t="s">
        <v>114</v>
      </c>
      <c r="P20" s="9"/>
    </row>
    <row r="21" customFormat="false" ht="15" hidden="false" customHeight="false" outlineLevel="0" collapsed="false">
      <c r="A21" s="13" t="s">
        <v>93</v>
      </c>
      <c r="B21" s="0" t="s">
        <v>91</v>
      </c>
      <c r="C21" s="7" t="n">
        <v>786</v>
      </c>
      <c r="D21" s="0" t="s">
        <v>91</v>
      </c>
      <c r="E21" s="7" t="n">
        <v>756</v>
      </c>
      <c r="F21" s="0" t="s">
        <v>91</v>
      </c>
      <c r="G21" s="0" t="str">
        <f aca="false">IF(H21&gt;0,"\textcolor{red}{+","\textcolor{OliveGreen}{")</f>
        <v>\textcolor{OliveGreen}{</v>
      </c>
      <c r="H21" s="8" t="n">
        <f aca="false">(E21-C21)/C21</f>
        <v>-0.0381679389312977</v>
      </c>
      <c r="I21" s="8" t="s">
        <v>115</v>
      </c>
      <c r="J21" s="7" t="n">
        <v>852</v>
      </c>
      <c r="K21" s="8" t="s">
        <v>91</v>
      </c>
      <c r="L21" s="7" t="n">
        <v>756</v>
      </c>
      <c r="M21" s="8" t="s">
        <v>91</v>
      </c>
      <c r="N21" s="8" t="s">
        <v>116</v>
      </c>
      <c r="O21" s="8" t="n">
        <f aca="false">(L21-J21)/J21</f>
        <v>-0.112676056338028</v>
      </c>
      <c r="P21" s="0" t="s">
        <v>94</v>
      </c>
    </row>
    <row r="22" customFormat="false" ht="15" hidden="false" customHeight="false" outlineLevel="0" collapsed="false">
      <c r="A22" s="13" t="s">
        <v>95</v>
      </c>
      <c r="B22" s="0" t="s">
        <v>91</v>
      </c>
      <c r="C22" s="7" t="n">
        <v>909</v>
      </c>
      <c r="D22" s="0" t="s">
        <v>91</v>
      </c>
      <c r="E22" s="7" t="n">
        <v>780</v>
      </c>
      <c r="F22" s="0" t="s">
        <v>91</v>
      </c>
      <c r="G22" s="0" t="str">
        <f aca="false">IF(H22&gt;0,"\textcolor{red}{+","\textcolor{OliveGreen}{")</f>
        <v>\textcolor{OliveGreen}{</v>
      </c>
      <c r="H22" s="8" t="n">
        <f aca="false">(E22-C22)/C22</f>
        <v>-0.141914191419142</v>
      </c>
      <c r="I22" s="8" t="s">
        <v>115</v>
      </c>
      <c r="J22" s="7" t="n">
        <v>983</v>
      </c>
      <c r="K22" s="8" t="s">
        <v>91</v>
      </c>
      <c r="L22" s="7" t="n">
        <v>780</v>
      </c>
      <c r="M22" s="8" t="s">
        <v>91</v>
      </c>
      <c r="N22" s="8" t="s">
        <v>116</v>
      </c>
      <c r="O22" s="8" t="n">
        <f aca="false">(L22-J22)/J22</f>
        <v>-0.206510681586979</v>
      </c>
      <c r="P22" s="0" t="s">
        <v>94</v>
      </c>
    </row>
    <row r="23" customFormat="false" ht="15" hidden="false" customHeight="false" outlineLevel="0" collapsed="false">
      <c r="A23" s="13" t="s">
        <v>96</v>
      </c>
      <c r="B23" s="0" t="s">
        <v>91</v>
      </c>
      <c r="C23" s="7" t="n">
        <v>24</v>
      </c>
      <c r="D23" s="0" t="s">
        <v>91</v>
      </c>
      <c r="E23" s="7" t="n">
        <v>24</v>
      </c>
      <c r="F23" s="0" t="s">
        <v>91</v>
      </c>
      <c r="G23" s="0" t="str">
        <f aca="false">IF(H23&gt;0,"\textcolor{red}{+","\textcolor{OliveGreen}{")</f>
        <v>\textcolor{OliveGreen}{</v>
      </c>
      <c r="H23" s="8" t="n">
        <f aca="false">(E23-C23)/C23</f>
        <v>0</v>
      </c>
      <c r="I23" s="8" t="s">
        <v>115</v>
      </c>
      <c r="J23" s="7" t="n">
        <v>1031</v>
      </c>
      <c r="K23" s="8" t="s">
        <v>91</v>
      </c>
      <c r="L23" s="7" t="n">
        <v>828</v>
      </c>
      <c r="M23" s="8" t="s">
        <v>91</v>
      </c>
      <c r="N23" s="8" t="s">
        <v>116</v>
      </c>
      <c r="O23" s="8" t="n">
        <f aca="false">(L23-J23)/J23</f>
        <v>-0.196896217264791</v>
      </c>
      <c r="P23" s="0" t="s">
        <v>94</v>
      </c>
    </row>
    <row r="24" customFormat="false" ht="15" hidden="false" customHeight="false" outlineLevel="0" collapsed="false">
      <c r="A24" s="13" t="s">
        <v>97</v>
      </c>
      <c r="B24" s="0" t="s">
        <v>91</v>
      </c>
      <c r="C24" s="7" t="n">
        <v>981</v>
      </c>
      <c r="D24" s="0" t="s">
        <v>91</v>
      </c>
      <c r="E24" s="7" t="n">
        <v>859</v>
      </c>
      <c r="F24" s="0" t="s">
        <v>91</v>
      </c>
      <c r="G24" s="0" t="str">
        <f aca="false">IF(H24&gt;0,"\textcolor{red}{+","\textcolor{OliveGreen}{")</f>
        <v>\textcolor{OliveGreen}{</v>
      </c>
      <c r="H24" s="8" t="n">
        <f aca="false">(E24-C24)/C24</f>
        <v>-0.124362895005097</v>
      </c>
      <c r="I24" s="8" t="s">
        <v>115</v>
      </c>
      <c r="J24" s="7" t="n">
        <v>1119</v>
      </c>
      <c r="K24" s="8" t="s">
        <v>91</v>
      </c>
      <c r="L24" s="7" t="n">
        <v>950</v>
      </c>
      <c r="M24" s="8" t="s">
        <v>91</v>
      </c>
      <c r="N24" s="8" t="s">
        <v>116</v>
      </c>
      <c r="O24" s="8" t="n">
        <f aca="false">(L24-J24)/J24</f>
        <v>-0.151027703306524</v>
      </c>
      <c r="P24" s="0" t="s">
        <v>94</v>
      </c>
    </row>
    <row r="25" customFormat="false" ht="15" hidden="false" customHeight="false" outlineLevel="0" collapsed="false">
      <c r="A25" s="0" t="s">
        <v>98</v>
      </c>
      <c r="B25" s="0" t="s">
        <v>91</v>
      </c>
      <c r="C25" s="7" t="n">
        <f aca="false">Cycle_estimation!B21</f>
        <v>3862</v>
      </c>
      <c r="D25" s="0" t="s">
        <v>91</v>
      </c>
      <c r="E25" s="7" t="n">
        <f aca="false">Cycle_estimation_with_XEf!B21</f>
        <v>3453</v>
      </c>
      <c r="F25" s="0" t="s">
        <v>91</v>
      </c>
      <c r="G25" s="0" t="str">
        <f aca="false">IF(H25&gt;0,"\textcolor{red}{+","\textcolor{OliveGreen}{")</f>
        <v>\textcolor{OliveGreen}{</v>
      </c>
      <c r="H25" s="8" t="n">
        <f aca="false">(E25-C25)/C25</f>
        <v>-0.105903676851372</v>
      </c>
      <c r="I25" s="8" t="s">
        <v>115</v>
      </c>
      <c r="J25" s="7" t="n">
        <v>4248</v>
      </c>
      <c r="K25" s="8" t="s">
        <v>91</v>
      </c>
      <c r="L25" s="7" t="n">
        <v>3650</v>
      </c>
      <c r="M25" s="8" t="s">
        <v>91</v>
      </c>
      <c r="N25" s="8" t="s">
        <v>116</v>
      </c>
      <c r="O25" s="8" t="n">
        <f aca="false">(L25-J25)/J25</f>
        <v>-0.140772128060264</v>
      </c>
      <c r="P25" s="0" t="s">
        <v>94</v>
      </c>
    </row>
    <row r="26" customFormat="false" ht="15" hidden="false" customHeight="false" outlineLevel="0" collapsed="false">
      <c r="A26" s="0" t="s">
        <v>99</v>
      </c>
      <c r="B26" s="0" t="s">
        <v>91</v>
      </c>
      <c r="C26" s="7" t="n">
        <f aca="false">Cycle_estimation!C21</f>
        <v>1901</v>
      </c>
      <c r="D26" s="0" t="s">
        <v>91</v>
      </c>
      <c r="E26" s="7" t="n">
        <f aca="false">Cycle_estimation_with_XEf!C21</f>
        <v>1831</v>
      </c>
      <c r="F26" s="0" t="s">
        <v>91</v>
      </c>
      <c r="G26" s="0" t="str">
        <f aca="false">IF(H26&gt;0,"\textcolor{red}{+","\textcolor{OliveGreen}{")</f>
        <v>\textcolor{OliveGreen}{</v>
      </c>
      <c r="H26" s="8" t="n">
        <f aca="false">(E26-C26)/C26</f>
        <v>-0.0368227248816412</v>
      </c>
      <c r="I26" s="8" t="s">
        <v>115</v>
      </c>
      <c r="J26" s="7" t="n">
        <v>5839</v>
      </c>
      <c r="K26" s="8" t="s">
        <v>91</v>
      </c>
      <c r="L26" s="7" t="n">
        <v>5076</v>
      </c>
      <c r="M26" s="8" t="s">
        <v>91</v>
      </c>
      <c r="N26" s="8" t="s">
        <v>116</v>
      </c>
      <c r="O26" s="8" t="n">
        <f aca="false">(L26-J26)/J26</f>
        <v>-0.130673060455557</v>
      </c>
      <c r="P26" s="0" t="s">
        <v>94</v>
      </c>
    </row>
    <row r="27" customFormat="false" ht="15" hidden="false" customHeight="false" outlineLevel="0" collapsed="false">
      <c r="A27" s="0" t="s">
        <v>110</v>
      </c>
      <c r="B27" s="0" t="s">
        <v>91</v>
      </c>
      <c r="C27" s="7" t="n">
        <v>66413</v>
      </c>
      <c r="D27" s="0" t="s">
        <v>91</v>
      </c>
      <c r="E27" s="7" t="n">
        <v>57110</v>
      </c>
      <c r="F27" s="0" t="s">
        <v>91</v>
      </c>
      <c r="G27" s="0" t="str">
        <f aca="false">IF(H27&gt;0,"\textcolor{red}{+","\textcolor{OliveGreen}{")</f>
        <v>\textcolor{OliveGreen}{</v>
      </c>
      <c r="H27" s="8" t="n">
        <f aca="false">(E27-C27)/C27</f>
        <v>-0.140077996777739</v>
      </c>
      <c r="I27" s="8" t="s">
        <v>115</v>
      </c>
      <c r="J27" s="7" t="n">
        <v>71044</v>
      </c>
      <c r="K27" s="8" t="s">
        <v>91</v>
      </c>
      <c r="L27" s="7" t="n">
        <v>59690</v>
      </c>
      <c r="M27" s="8" t="s">
        <v>91</v>
      </c>
      <c r="N27" s="8" t="s">
        <v>116</v>
      </c>
      <c r="O27" s="8" t="n">
        <f aca="false">(L27-J27)/J27</f>
        <v>-0.159816451776364</v>
      </c>
      <c r="P27" s="0" t="s">
        <v>94</v>
      </c>
    </row>
    <row r="28" customFormat="false" ht="15" hidden="false" customHeight="false" outlineLevel="0" collapsed="false">
      <c r="A28" s="0" t="s">
        <v>111</v>
      </c>
      <c r="B28" s="0" t="s">
        <v>91</v>
      </c>
      <c r="C28" s="7" t="n">
        <v>12985</v>
      </c>
      <c r="D28" s="0" t="s">
        <v>91</v>
      </c>
      <c r="E28" s="7" t="n">
        <v>12880</v>
      </c>
      <c r="F28" s="0" t="s">
        <v>91</v>
      </c>
      <c r="G28" s="0" t="str">
        <f aca="false">IF(H28&gt;0,"\textcolor{red}{+","\textcolor{OliveGreen}{")</f>
        <v>\textcolor{OliveGreen}{</v>
      </c>
      <c r="H28" s="8" t="n">
        <f aca="false">(E28-C28)/C28</f>
        <v>-0.00808625336927224</v>
      </c>
      <c r="I28" s="8" t="s">
        <v>115</v>
      </c>
      <c r="J28" s="7" t="n">
        <v>13476</v>
      </c>
      <c r="K28" s="8" t="s">
        <v>91</v>
      </c>
      <c r="L28" s="7" t="n">
        <v>13326</v>
      </c>
      <c r="M28" s="8" t="s">
        <v>91</v>
      </c>
      <c r="N28" s="8" t="s">
        <v>116</v>
      </c>
      <c r="O28" s="8" t="n">
        <f aca="false">(L28-J28)/J28</f>
        <v>-0.0111308993766696</v>
      </c>
      <c r="P28" s="0" t="s">
        <v>94</v>
      </c>
    </row>
    <row r="29" customFormat="false" ht="15" hidden="false" customHeight="false" outlineLevel="0" collapsed="false">
      <c r="A29" s="0" t="s">
        <v>112</v>
      </c>
      <c r="B29" s="0" t="s">
        <v>91</v>
      </c>
      <c r="C29" s="7" t="n">
        <v>2</v>
      </c>
      <c r="D29" s="0" t="s">
        <v>91</v>
      </c>
      <c r="E29" s="7" t="n">
        <v>2</v>
      </c>
      <c r="F29" s="0" t="s">
        <v>91</v>
      </c>
      <c r="G29" s="0" t="str">
        <f aca="false">IF(H29&gt;0,"\textcolor{red}{+","\textcolor{OliveGreen}{")</f>
        <v>\textcolor{OliveGreen}{</v>
      </c>
      <c r="H29" s="8" t="n">
        <f aca="false">(E29-C29)/C29</f>
        <v>0</v>
      </c>
      <c r="I29" s="8" t="s">
        <v>115</v>
      </c>
      <c r="J29" s="7" t="n">
        <v>2</v>
      </c>
      <c r="K29" s="8" t="s">
        <v>91</v>
      </c>
      <c r="L29" s="7" t="n">
        <v>2</v>
      </c>
      <c r="M29" s="8" t="s">
        <v>91</v>
      </c>
      <c r="N29" s="8" t="s">
        <v>116</v>
      </c>
      <c r="O29" s="8" t="n">
        <f aca="false">(L29-J29)/J29</f>
        <v>0</v>
      </c>
      <c r="P29" s="0" t="s">
        <v>94</v>
      </c>
    </row>
    <row r="30" customFormat="false" ht="15" hidden="false" customHeight="false" outlineLevel="0" collapsed="false">
      <c r="A30" s="0" t="s">
        <v>113</v>
      </c>
      <c r="B30" s="0" t="s">
        <v>91</v>
      </c>
      <c r="C30" s="7" t="n">
        <v>240</v>
      </c>
      <c r="D30" s="0" t="s">
        <v>91</v>
      </c>
      <c r="E30" s="7" t="n">
        <v>221</v>
      </c>
      <c r="F30" s="0" t="s">
        <v>91</v>
      </c>
      <c r="G30" s="0" t="str">
        <f aca="false">IF(H30&gt;0,"\textcolor{OliveGreen}{+","\textcolor{red}{")</f>
        <v>\textcolor{red}{</v>
      </c>
      <c r="H30" s="8" t="n">
        <f aca="false">(E30-C30)/C30</f>
        <v>-0.0791666666666667</v>
      </c>
      <c r="I30" s="8" t="s">
        <v>115</v>
      </c>
      <c r="J30" s="7" t="n">
        <v>249</v>
      </c>
      <c r="K30" s="8" t="s">
        <v>91</v>
      </c>
      <c r="L30" s="7" t="n">
        <v>222</v>
      </c>
      <c r="M30" s="8" t="s">
        <v>91</v>
      </c>
      <c r="N30" s="8" t="s">
        <v>118</v>
      </c>
      <c r="O30" s="8" t="n">
        <f aca="false">(L30-J30)/J30</f>
        <v>-0.108433734939759</v>
      </c>
      <c r="P30" s="0" t="s">
        <v>94</v>
      </c>
    </row>
    <row r="31" customFormat="false" ht="15" hidden="false" customHeight="false" outlineLevel="0" collapsed="false">
      <c r="A31" s="0" t="s">
        <v>104</v>
      </c>
      <c r="B31" s="0" t="s">
        <v>91</v>
      </c>
      <c r="C31" s="15" t="n">
        <f aca="false">C25/C$30</f>
        <v>16.0916666666667</v>
      </c>
      <c r="D31" s="0" t="s">
        <v>91</v>
      </c>
      <c r="E31" s="15" t="n">
        <f aca="false">E25/E30</f>
        <v>15.6244343891403</v>
      </c>
      <c r="F31" s="0" t="s">
        <v>91</v>
      </c>
      <c r="G31" s="0" t="str">
        <f aca="false">IF(H31&gt;0,"\textcolor{red}{+","\textcolor{OliveGreen}{")</f>
        <v>\textcolor{OliveGreen}{</v>
      </c>
      <c r="H31" s="8" t="n">
        <f aca="false">(E31-C31)/C31</f>
        <v>-0.0290356671689111</v>
      </c>
      <c r="I31" s="8" t="s">
        <v>115</v>
      </c>
      <c r="J31" s="15" t="n">
        <v>17.0602409638554</v>
      </c>
      <c r="K31" s="8" t="s">
        <v>91</v>
      </c>
      <c r="L31" s="15" t="n">
        <f aca="false">L25/L30</f>
        <v>16.4414414414414</v>
      </c>
      <c r="M31" s="8" t="s">
        <v>91</v>
      </c>
      <c r="N31" s="8" t="s">
        <v>116</v>
      </c>
      <c r="O31" s="8" t="n">
        <f aca="false">(L31-J31)/J31</f>
        <v>-0.0362714409324566</v>
      </c>
      <c r="P31" s="0" t="s">
        <v>94</v>
      </c>
    </row>
    <row r="32" customFormat="false" ht="15" hidden="false" customHeight="false" outlineLevel="0" collapsed="false">
      <c r="A32" s="0" t="s">
        <v>105</v>
      </c>
      <c r="B32" s="0" t="s">
        <v>91</v>
      </c>
      <c r="C32" s="15" t="n">
        <f aca="false">C26/C$30</f>
        <v>7.92083333333333</v>
      </c>
      <c r="D32" s="0" t="s">
        <v>91</v>
      </c>
      <c r="E32" s="15" t="n">
        <f aca="false">E26/E30</f>
        <v>8.28506787330317</v>
      </c>
      <c r="F32" s="0" t="s">
        <v>91</v>
      </c>
      <c r="G32" s="0" t="str">
        <f aca="false">IF(H32&gt;0,"\textcolor{red}{+","\textcolor{OliveGreen}{")</f>
        <v>\textcolor{red}{+</v>
      </c>
      <c r="H32" s="8" t="n">
        <f aca="false">(E32-C32)/C32</f>
        <v>0.0459843711692585</v>
      </c>
      <c r="I32" s="8" t="s">
        <v>115</v>
      </c>
      <c r="J32" s="15" t="n">
        <v>23.4497991967871</v>
      </c>
      <c r="K32" s="8" t="s">
        <v>91</v>
      </c>
      <c r="L32" s="15" t="n">
        <f aca="false">L26/L30</f>
        <v>22.8648648648649</v>
      </c>
      <c r="M32" s="8" t="s">
        <v>91</v>
      </c>
      <c r="N32" s="8" t="s">
        <v>116</v>
      </c>
      <c r="O32" s="8" t="n">
        <f aca="false">(L32-J32)/J32</f>
        <v>-0.024944108348799</v>
      </c>
      <c r="P32" s="0" t="s">
        <v>94</v>
      </c>
    </row>
    <row r="33" customFormat="false" ht="15" hidden="false" customHeight="false" outlineLevel="0" collapsed="false">
      <c r="A33" s="0" t="s">
        <v>106</v>
      </c>
      <c r="B33" s="0" t="s">
        <v>91</v>
      </c>
      <c r="C33" s="7" t="n">
        <f aca="false">Results!B17</f>
        <v>46466</v>
      </c>
      <c r="D33" s="0" t="s">
        <v>91</v>
      </c>
      <c r="E33" s="7" t="n">
        <f aca="false">Results!B25</f>
        <v>40885</v>
      </c>
      <c r="F33" s="0" t="s">
        <v>91</v>
      </c>
      <c r="G33" s="0" t="str">
        <f aca="false">IF(H33&gt;0,"\textcolor{red}{+","\textcolor{OliveGreen}{")</f>
        <v>\textcolor{OliveGreen}{</v>
      </c>
      <c r="H33" s="8" t="n">
        <f aca="false">(E33-C33)/C33</f>
        <v>-0.120109327250032</v>
      </c>
      <c r="I33" s="8" t="s">
        <v>115</v>
      </c>
      <c r="J33" s="7" t="n">
        <v>48029</v>
      </c>
      <c r="K33" s="8" t="s">
        <v>91</v>
      </c>
      <c r="L33" s="7" t="n">
        <v>43014</v>
      </c>
      <c r="M33" s="8" t="s">
        <v>91</v>
      </c>
      <c r="N33" s="8" t="s">
        <v>116</v>
      </c>
      <c r="O33" s="8" t="n">
        <f aca="false">(L33-J33)/J33</f>
        <v>-0.104416081950488</v>
      </c>
      <c r="P33" s="0" t="s">
        <v>94</v>
      </c>
    </row>
    <row r="34" customFormat="false" ht="15" hidden="false" customHeight="false" outlineLevel="0" collapsed="false">
      <c r="A34" s="0" t="s">
        <v>107</v>
      </c>
      <c r="B34" s="0" t="s">
        <v>91</v>
      </c>
      <c r="C34" s="7" t="n">
        <f aca="false">Results!E17</f>
        <v>107014</v>
      </c>
      <c r="D34" s="0" t="s">
        <v>91</v>
      </c>
      <c r="E34" s="7" t="n">
        <f aca="false">Results!E25</f>
        <v>97090</v>
      </c>
      <c r="F34" s="0" t="s">
        <v>91</v>
      </c>
      <c r="G34" s="0" t="str">
        <f aca="false">IF(H34&gt;0,"\textcolor{red}{+","\textcolor{OliveGreen}{")</f>
        <v>\textcolor{OliveGreen}{</v>
      </c>
      <c r="H34" s="8" t="n">
        <f aca="false">(E34-C34)/C34</f>
        <v>-0.0927355299306633</v>
      </c>
      <c r="I34" s="8" t="s">
        <v>115</v>
      </c>
      <c r="J34" s="7" t="n">
        <v>108844</v>
      </c>
      <c r="K34" s="8" t="s">
        <v>91</v>
      </c>
      <c r="L34" s="7" t="n">
        <v>96859</v>
      </c>
      <c r="M34" s="8" t="s">
        <v>91</v>
      </c>
      <c r="N34" s="8" t="s">
        <v>116</v>
      </c>
      <c r="O34" s="8" t="n">
        <f aca="false">(L34-J34)/J34</f>
        <v>-0.110111719525192</v>
      </c>
      <c r="P34" s="0" t="s">
        <v>94</v>
      </c>
    </row>
    <row r="35" customFormat="false" ht="15" hidden="false" customHeight="false" outlineLevel="0" collapsed="false">
      <c r="A35" s="0" t="s">
        <v>108</v>
      </c>
      <c r="B35" s="0" t="s">
        <v>91</v>
      </c>
      <c r="C35" s="7" t="n">
        <f aca="false">Results!D17</f>
        <v>4</v>
      </c>
      <c r="D35" s="0" t="s">
        <v>91</v>
      </c>
      <c r="E35" s="7" t="n">
        <f aca="false">Results!D25</f>
        <v>4</v>
      </c>
      <c r="F35" s="0" t="s">
        <v>91</v>
      </c>
      <c r="G35" s="0" t="str">
        <f aca="false">IF(H35&gt;0,"\textcolor{red}{+","\textcolor{OliveGreen}{")</f>
        <v>\textcolor{OliveGreen}{</v>
      </c>
      <c r="H35" s="8" t="n">
        <f aca="false">(E35-C35)/C35</f>
        <v>0</v>
      </c>
      <c r="I35" s="8" t="s">
        <v>115</v>
      </c>
      <c r="J35" s="7" t="n">
        <v>6</v>
      </c>
      <c r="K35" s="8" t="s">
        <v>91</v>
      </c>
      <c r="L35" s="7" t="n">
        <v>6</v>
      </c>
      <c r="M35" s="8" t="s">
        <v>91</v>
      </c>
      <c r="N35" s="8" t="s">
        <v>116</v>
      </c>
      <c r="O35" s="8" t="n">
        <f aca="false">(L35-J35)/J35</f>
        <v>0</v>
      </c>
      <c r="P35" s="0" t="s">
        <v>94</v>
      </c>
    </row>
    <row r="36" customFormat="false" ht="15" hidden="false" customHeight="false" outlineLevel="0" collapsed="false">
      <c r="A36" s="0" t="s">
        <v>109</v>
      </c>
      <c r="B36" s="0" t="s">
        <v>91</v>
      </c>
      <c r="C36" s="7" t="n">
        <f aca="false">Results!F17</f>
        <v>177.34</v>
      </c>
      <c r="D36" s="0" t="s">
        <v>91</v>
      </c>
      <c r="E36" s="7" t="n">
        <f aca="false">Results!F25</f>
        <v>193.01</v>
      </c>
      <c r="F36" s="0" t="s">
        <v>91</v>
      </c>
      <c r="G36" s="0" t="str">
        <f aca="false">IF(H36&gt;0,"\textcolor{OliveGreen}{+","\textcolor{red}{")</f>
        <v>\textcolor{OliveGreen}{+</v>
      </c>
      <c r="H36" s="8" t="n">
        <f aca="false">(E36-C36)/C36</f>
        <v>0.0883613397992556</v>
      </c>
      <c r="I36" s="8" t="s">
        <v>115</v>
      </c>
      <c r="J36" s="7" t="n">
        <v>194.7</v>
      </c>
      <c r="K36" s="8" t="s">
        <v>91</v>
      </c>
      <c r="L36" s="7" t="n">
        <v>189.83</v>
      </c>
      <c r="M36" s="8" t="s">
        <v>91</v>
      </c>
      <c r="N36" s="8" t="s">
        <v>118</v>
      </c>
      <c r="O36" s="8" t="n">
        <f aca="false">(L36-J36)/J36</f>
        <v>-0.0250128402670774</v>
      </c>
      <c r="P36" s="0" t="s">
        <v>94</v>
      </c>
    </row>
    <row r="37" customFormat="false" ht="15" hidden="false" customHeight="false" outlineLevel="0" collapsed="false">
      <c r="A37" s="0" t="s">
        <v>104</v>
      </c>
      <c r="B37" s="0" t="s">
        <v>91</v>
      </c>
      <c r="C37" s="15" t="n">
        <f aca="false">C25/(C$36)</f>
        <v>21.7773767903462</v>
      </c>
      <c r="D37" s="0" t="s">
        <v>91</v>
      </c>
      <c r="E37" s="15" t="n">
        <f aca="false">E25/E$36</f>
        <v>17.8902647531216</v>
      </c>
      <c r="F37" s="0" t="s">
        <v>91</v>
      </c>
      <c r="G37" s="0" t="str">
        <f aca="false">IF(H37&gt;0,"\textcolor{red}{+","\textcolor{OliveGreen}{")</f>
        <v>\textcolor{OliveGreen}{</v>
      </c>
      <c r="H37" s="8" t="n">
        <f aca="false">(E37-C37)/C37</f>
        <v>-0.178493124982241</v>
      </c>
      <c r="I37" s="8" t="s">
        <v>115</v>
      </c>
      <c r="J37" s="15" t="n">
        <v>21.8181818181818</v>
      </c>
      <c r="K37" s="8" t="s">
        <v>91</v>
      </c>
      <c r="L37" s="15" t="n">
        <v>19.227730074277</v>
      </c>
      <c r="M37" s="8" t="s">
        <v>91</v>
      </c>
      <c r="N37" s="8" t="s">
        <v>116</v>
      </c>
      <c r="O37" s="8" t="n">
        <f aca="false">(L37-J37)/J37</f>
        <v>-0.118729038262303</v>
      </c>
      <c r="P37" s="0" t="s">
        <v>94</v>
      </c>
    </row>
    <row r="38" customFormat="false" ht="15" hidden="false" customHeight="false" outlineLevel="0" collapsed="false">
      <c r="A38" s="0" t="s">
        <v>105</v>
      </c>
      <c r="B38" s="0" t="s">
        <v>91</v>
      </c>
      <c r="C38" s="15" t="n">
        <f aca="false">C26/(C$36)</f>
        <v>10.7195218224879</v>
      </c>
      <c r="D38" s="0" t="s">
        <v>91</v>
      </c>
      <c r="E38" s="15" t="n">
        <f aca="false">E26/E$36</f>
        <v>9.48655510077198</v>
      </c>
      <c r="F38" s="0" t="s">
        <v>91</v>
      </c>
      <c r="G38" s="0" t="str">
        <f aca="false">IF(H38&gt;0,"\textcolor{red}{+","\textcolor{OliveGreen}{")</f>
        <v>\textcolor{OliveGreen}{</v>
      </c>
      <c r="H38" s="8" t="n">
        <f aca="false">(E38-C38)/C38</f>
        <v>-0.115020683024249</v>
      </c>
      <c r="I38" s="8" t="s">
        <v>115</v>
      </c>
      <c r="J38" s="15" t="n">
        <v>29.989727786338</v>
      </c>
      <c r="K38" s="8" t="s">
        <v>91</v>
      </c>
      <c r="L38" s="15" t="n">
        <v>26.7397144813781</v>
      </c>
      <c r="M38" s="8" t="s">
        <v>91</v>
      </c>
      <c r="N38" s="8" t="s">
        <v>116</v>
      </c>
      <c r="O38" s="8" t="n">
        <f aca="false">(L38-J38)/J38</f>
        <v>-0.108370883794433</v>
      </c>
      <c r="P38" s="0" t="s">
        <v>94</v>
      </c>
    </row>
    <row r="39" s="12" customFormat="true" ht="15" hidden="false" customHeight="false" outlineLevel="0" collapsed="false">
      <c r="A39" s="9" t="s">
        <v>90</v>
      </c>
      <c r="B39" s="9" t="s">
        <v>91</v>
      </c>
      <c r="C39" s="10" t="str">
        <f aca="false">Cycle_estimation!A22</f>
        <v>5KEM_0d</v>
      </c>
      <c r="D39" s="9" t="s">
        <v>91</v>
      </c>
      <c r="E39" s="10" t="str">
        <f aca="false">Cycle_estimation_with_XEf!A22</f>
        <v>5KEM_5d</v>
      </c>
      <c r="F39" s="9" t="s">
        <v>91</v>
      </c>
      <c r="H39" s="11"/>
      <c r="I39" s="11" t="s">
        <v>91</v>
      </c>
      <c r="J39" s="10" t="s">
        <v>15</v>
      </c>
      <c r="K39" s="9" t="s">
        <v>91</v>
      </c>
      <c r="L39" s="10" t="s">
        <v>80</v>
      </c>
      <c r="M39" s="9" t="s">
        <v>91</v>
      </c>
      <c r="N39" s="11" t="s">
        <v>92</v>
      </c>
      <c r="O39" s="18" t="s">
        <v>114</v>
      </c>
      <c r="P39" s="9"/>
    </row>
    <row r="40" customFormat="false" ht="15" hidden="false" customHeight="false" outlineLevel="0" collapsed="false">
      <c r="A40" s="13" t="s">
        <v>93</v>
      </c>
      <c r="B40" s="0" t="s">
        <v>91</v>
      </c>
      <c r="C40" s="7" t="n">
        <v>1018</v>
      </c>
      <c r="D40" s="0" t="s">
        <v>91</v>
      </c>
      <c r="E40" s="7" t="n">
        <v>940</v>
      </c>
      <c r="F40" s="0" t="s">
        <v>91</v>
      </c>
      <c r="G40" s="0" t="str">
        <f aca="false">IF(H40&gt;0,"\textcolor{red}{+","\textcolor{OliveGreen}{")</f>
        <v>\textcolor{OliveGreen}{</v>
      </c>
      <c r="H40" s="8" t="n">
        <f aca="false">(E40-C40)/C40</f>
        <v>-0.0766208251473477</v>
      </c>
      <c r="I40" s="8" t="s">
        <v>115</v>
      </c>
      <c r="J40" s="7" t="n">
        <v>1170</v>
      </c>
      <c r="K40" s="8" t="s">
        <v>91</v>
      </c>
      <c r="L40" s="7" t="n">
        <v>946</v>
      </c>
      <c r="M40" s="8" t="s">
        <v>91</v>
      </c>
      <c r="N40" s="8" t="s">
        <v>116</v>
      </c>
      <c r="O40" s="8" t="n">
        <f aca="false">(L40-J40)/J40</f>
        <v>-0.191452991452991</v>
      </c>
      <c r="P40" s="0" t="s">
        <v>94</v>
      </c>
    </row>
    <row r="41" customFormat="false" ht="15" hidden="false" customHeight="false" outlineLevel="0" collapsed="false">
      <c r="A41" s="13" t="s">
        <v>95</v>
      </c>
      <c r="B41" s="0" t="s">
        <v>91</v>
      </c>
      <c r="C41" s="7" t="n">
        <v>1176</v>
      </c>
      <c r="D41" s="0" t="s">
        <v>91</v>
      </c>
      <c r="E41" s="7" t="n">
        <v>972</v>
      </c>
      <c r="F41" s="0" t="s">
        <v>91</v>
      </c>
      <c r="G41" s="0" t="str">
        <f aca="false">IF(H41&gt;0,"\textcolor{red}{+","\textcolor{OliveGreen}{")</f>
        <v>\textcolor{OliveGreen}{</v>
      </c>
      <c r="H41" s="8" t="n">
        <f aca="false">(E41-C41)/C41</f>
        <v>-0.173469387755102</v>
      </c>
      <c r="I41" s="8" t="s">
        <v>115</v>
      </c>
      <c r="J41" s="7" t="n">
        <v>1349</v>
      </c>
      <c r="K41" s="8" t="s">
        <v>91</v>
      </c>
      <c r="L41" s="7" t="n">
        <v>978</v>
      </c>
      <c r="M41" s="8" t="s">
        <v>91</v>
      </c>
      <c r="N41" s="8" t="s">
        <v>116</v>
      </c>
      <c r="O41" s="8" t="n">
        <f aca="false">(L41-J41)/J41</f>
        <v>-0.275018532246108</v>
      </c>
      <c r="P41" s="0" t="s">
        <v>94</v>
      </c>
    </row>
    <row r="42" customFormat="false" ht="15" hidden="false" customHeight="false" outlineLevel="0" collapsed="false">
      <c r="A42" s="13" t="s">
        <v>96</v>
      </c>
      <c r="B42" s="0" t="s">
        <v>91</v>
      </c>
      <c r="C42" s="7" t="n">
        <v>32</v>
      </c>
      <c r="D42" s="0" t="s">
        <v>91</v>
      </c>
      <c r="E42" s="7" t="n">
        <v>32</v>
      </c>
      <c r="F42" s="0" t="s">
        <v>91</v>
      </c>
      <c r="G42" s="0" t="str">
        <f aca="false">IF(H42&gt;0,"\textcolor{red}{+","\textcolor{OliveGreen}{")</f>
        <v>\textcolor{OliveGreen}{</v>
      </c>
      <c r="H42" s="8" t="n">
        <f aca="false">(E42-C42)/C42</f>
        <v>0</v>
      </c>
      <c r="I42" s="8" t="s">
        <v>115</v>
      </c>
      <c r="J42" s="7" t="n">
        <v>1413</v>
      </c>
      <c r="K42" s="8" t="s">
        <v>91</v>
      </c>
      <c r="L42" s="7" t="n">
        <v>1042</v>
      </c>
      <c r="M42" s="8" t="s">
        <v>91</v>
      </c>
      <c r="N42" s="8" t="s">
        <v>116</v>
      </c>
      <c r="O42" s="8" t="n">
        <f aca="false">(L42-J42)/J42</f>
        <v>-0.262561924982307</v>
      </c>
      <c r="P42" s="0" t="s">
        <v>94</v>
      </c>
    </row>
    <row r="43" customFormat="false" ht="15" hidden="false" customHeight="false" outlineLevel="0" collapsed="false">
      <c r="A43" s="13" t="s">
        <v>97</v>
      </c>
      <c r="B43" s="0" t="s">
        <v>91</v>
      </c>
      <c r="C43" s="7" t="n">
        <v>1274</v>
      </c>
      <c r="D43" s="0" t="s">
        <v>91</v>
      </c>
      <c r="E43" s="7" t="n">
        <v>1063</v>
      </c>
      <c r="F43" s="0" t="s">
        <v>91</v>
      </c>
      <c r="G43" s="0" t="str">
        <f aca="false">IF(H43&gt;0,"\textcolor{red}{+","\textcolor{OliveGreen}{")</f>
        <v>\textcolor{OliveGreen}{</v>
      </c>
      <c r="H43" s="8" t="n">
        <f aca="false">(E43-C43)/C43</f>
        <v>-0.165620094191523</v>
      </c>
      <c r="I43" s="8" t="s">
        <v>115</v>
      </c>
      <c r="J43" s="7" t="n">
        <v>1525</v>
      </c>
      <c r="K43" s="8" t="s">
        <v>91</v>
      </c>
      <c r="L43" s="7" t="n">
        <v>1301</v>
      </c>
      <c r="M43" s="8" t="s">
        <v>91</v>
      </c>
      <c r="N43" s="8" t="s">
        <v>116</v>
      </c>
      <c r="O43" s="8" t="n">
        <f aca="false">(L43-J43)/J43</f>
        <v>-0.146885245901639</v>
      </c>
      <c r="P43" s="0" t="s">
        <v>94</v>
      </c>
    </row>
    <row r="44" customFormat="false" ht="15" hidden="false" customHeight="false" outlineLevel="0" collapsed="false">
      <c r="A44" s="0" t="s">
        <v>98</v>
      </c>
      <c r="B44" s="0" t="s">
        <v>91</v>
      </c>
      <c r="C44" s="7" t="n">
        <f aca="false">Cycle_estimation!B22</f>
        <v>5031</v>
      </c>
      <c r="D44" s="0" t="s">
        <v>91</v>
      </c>
      <c r="E44" s="7" t="n">
        <f aca="false">Cycle_estimation_with_XEf!B22</f>
        <v>4279</v>
      </c>
      <c r="F44" s="0" t="s">
        <v>91</v>
      </c>
      <c r="G44" s="0" t="str">
        <f aca="false">IF(H44&gt;0,"\textcolor{red}{+","\textcolor{OliveGreen}{")</f>
        <v>\textcolor{OliveGreen}{</v>
      </c>
      <c r="H44" s="8" t="n">
        <f aca="false">(E44-C44)/C44</f>
        <v>-0.149473265752336</v>
      </c>
      <c r="I44" s="8" t="s">
        <v>115</v>
      </c>
      <c r="J44" s="7" t="n">
        <v>5836</v>
      </c>
      <c r="K44" s="8" t="s">
        <v>91</v>
      </c>
      <c r="L44" s="7" t="n">
        <v>4509</v>
      </c>
      <c r="M44" s="8" t="s">
        <v>91</v>
      </c>
      <c r="N44" s="8" t="s">
        <v>116</v>
      </c>
      <c r="O44" s="8" t="n">
        <f aca="false">(L44-J44)/J44</f>
        <v>-0.227381768334476</v>
      </c>
      <c r="P44" s="0" t="s">
        <v>94</v>
      </c>
    </row>
    <row r="45" customFormat="false" ht="15" hidden="false" customHeight="false" outlineLevel="0" collapsed="false">
      <c r="A45" s="0" t="s">
        <v>99</v>
      </c>
      <c r="B45" s="0" t="s">
        <v>91</v>
      </c>
      <c r="C45" s="7" t="n">
        <f aca="false">Cycle_estimation!C22</f>
        <v>2450</v>
      </c>
      <c r="D45" s="0" t="s">
        <v>91</v>
      </c>
      <c r="E45" s="7" t="n">
        <f aca="false">Cycle_estimation_with_XEf!C22</f>
        <v>2252</v>
      </c>
      <c r="F45" s="0" t="s">
        <v>91</v>
      </c>
      <c r="G45" s="0" t="str">
        <f aca="false">IF(H45&gt;0,"\textcolor{red}{+","\textcolor{OliveGreen}{")</f>
        <v>\textcolor{OliveGreen}{</v>
      </c>
      <c r="H45" s="8" t="n">
        <f aca="false">(E45-C45)/C45</f>
        <v>-0.0808163265306122</v>
      </c>
      <c r="I45" s="8" t="s">
        <v>115</v>
      </c>
      <c r="J45" s="7" t="n">
        <v>7999</v>
      </c>
      <c r="K45" s="8" t="s">
        <v>91</v>
      </c>
      <c r="L45" s="7" t="n">
        <v>6301</v>
      </c>
      <c r="M45" s="8" t="s">
        <v>91</v>
      </c>
      <c r="N45" s="8" t="s">
        <v>116</v>
      </c>
      <c r="O45" s="8" t="n">
        <f aca="false">(L45-J45)/J45</f>
        <v>-0.212276534566821</v>
      </c>
      <c r="P45" s="0" t="s">
        <v>94</v>
      </c>
    </row>
    <row r="46" customFormat="false" ht="15" hidden="false" customHeight="false" outlineLevel="0" collapsed="false">
      <c r="A46" s="0" t="s">
        <v>110</v>
      </c>
      <c r="B46" s="0" t="s">
        <v>91</v>
      </c>
      <c r="C46" s="7" t="n">
        <v>98063</v>
      </c>
      <c r="D46" s="0" t="s">
        <v>91</v>
      </c>
      <c r="E46" s="7" t="n">
        <v>70690</v>
      </c>
      <c r="F46" s="0" t="s">
        <v>91</v>
      </c>
      <c r="G46" s="0" t="str">
        <f aca="false">IF(H46&gt;0,"\textcolor{red}{+","\textcolor{OliveGreen}{")</f>
        <v>\textcolor{OliveGreen}{</v>
      </c>
      <c r="H46" s="8" t="n">
        <f aca="false">(E46-C46)/C46</f>
        <v>-0.279136881392574</v>
      </c>
      <c r="I46" s="8" t="s">
        <v>115</v>
      </c>
      <c r="J46" s="7" t="n">
        <v>99315</v>
      </c>
      <c r="K46" s="8" t="s">
        <v>91</v>
      </c>
      <c r="L46" s="7" t="n">
        <v>74008</v>
      </c>
      <c r="M46" s="8" t="s">
        <v>91</v>
      </c>
      <c r="N46" s="8" t="s">
        <v>116</v>
      </c>
      <c r="O46" s="8" t="n">
        <f aca="false">(L46-J46)/J46</f>
        <v>-0.254815486079646</v>
      </c>
      <c r="P46" s="0" t="s">
        <v>94</v>
      </c>
    </row>
    <row r="47" customFormat="false" ht="15" hidden="false" customHeight="false" outlineLevel="0" collapsed="false">
      <c r="A47" s="0" t="s">
        <v>111</v>
      </c>
      <c r="B47" s="0" t="s">
        <v>91</v>
      </c>
      <c r="C47" s="7" t="n">
        <v>17561</v>
      </c>
      <c r="D47" s="0" t="s">
        <v>91</v>
      </c>
      <c r="E47" s="7" t="n">
        <v>14320</v>
      </c>
      <c r="F47" s="0" t="s">
        <v>91</v>
      </c>
      <c r="G47" s="0" t="str">
        <f aca="false">IF(H47&gt;0,"\textcolor{red}{+","\textcolor{OliveGreen}{")</f>
        <v>\textcolor{OliveGreen}{</v>
      </c>
      <c r="H47" s="8" t="n">
        <f aca="false">(E47-C47)/C47</f>
        <v>-0.184556688115711</v>
      </c>
      <c r="I47" s="8" t="s">
        <v>115</v>
      </c>
      <c r="J47" s="7" t="n">
        <v>17676</v>
      </c>
      <c r="K47" s="8" t="s">
        <v>91</v>
      </c>
      <c r="L47" s="7" t="n">
        <v>14090</v>
      </c>
      <c r="M47" s="8" t="s">
        <v>91</v>
      </c>
      <c r="N47" s="8" t="s">
        <v>116</v>
      </c>
      <c r="O47" s="8" t="n">
        <f aca="false">(L47-J47)/J47</f>
        <v>-0.202873953383118</v>
      </c>
      <c r="P47" s="0" t="s">
        <v>94</v>
      </c>
    </row>
    <row r="48" customFormat="false" ht="15" hidden="false" customHeight="false" outlineLevel="0" collapsed="false">
      <c r="A48" s="0" t="s">
        <v>112</v>
      </c>
      <c r="B48" s="0" t="s">
        <v>91</v>
      </c>
      <c r="C48" s="7" t="n">
        <v>2</v>
      </c>
      <c r="D48" s="0" t="s">
        <v>91</v>
      </c>
      <c r="E48" s="7" t="n">
        <v>2</v>
      </c>
      <c r="F48" s="0" t="s">
        <v>91</v>
      </c>
      <c r="G48" s="0" t="str">
        <f aca="false">IF(H48&gt;0,"\textcolor{red}{+","\textcolor{OliveGreen}{")</f>
        <v>\textcolor{OliveGreen}{</v>
      </c>
      <c r="H48" s="8" t="n">
        <f aca="false">(E48-C48)/C48</f>
        <v>0</v>
      </c>
      <c r="I48" s="8" t="s">
        <v>115</v>
      </c>
      <c r="J48" s="7" t="n">
        <v>2</v>
      </c>
      <c r="K48" s="8" t="s">
        <v>91</v>
      </c>
      <c r="L48" s="7" t="n">
        <v>2</v>
      </c>
      <c r="M48" s="8" t="s">
        <v>91</v>
      </c>
      <c r="N48" s="8" t="s">
        <v>116</v>
      </c>
      <c r="O48" s="8" t="n">
        <f aca="false">(L48-J48)/J48</f>
        <v>0</v>
      </c>
      <c r="P48" s="0" t="str">
        <f aca="false">P47</f>
        <v>}\\</v>
      </c>
    </row>
    <row r="49" customFormat="false" ht="15" hidden="false" customHeight="false" outlineLevel="0" collapsed="false">
      <c r="A49" s="0" t="s">
        <v>113</v>
      </c>
      <c r="B49" s="0" t="s">
        <v>91</v>
      </c>
      <c r="C49" s="7" t="n">
        <v>220</v>
      </c>
      <c r="D49" s="0" t="s">
        <v>91</v>
      </c>
      <c r="E49" s="7" t="n">
        <v>223</v>
      </c>
      <c r="F49" s="0" t="s">
        <v>91</v>
      </c>
      <c r="G49" s="0" t="str">
        <f aca="false">IF(H49&gt;0,"\textcolor{OliveGreen}{+","\textcolor{red}{")</f>
        <v>\textcolor{OliveGreen}{+</v>
      </c>
      <c r="H49" s="8" t="n">
        <f aca="false">(E49-C49)/C49</f>
        <v>0.0136363636363636</v>
      </c>
      <c r="I49" s="8" t="s">
        <v>115</v>
      </c>
      <c r="J49" s="7" t="n">
        <v>240</v>
      </c>
      <c r="K49" s="8" t="s">
        <v>91</v>
      </c>
      <c r="L49" s="7" t="n">
        <v>223</v>
      </c>
      <c r="M49" s="8" t="s">
        <v>91</v>
      </c>
      <c r="N49" s="8" t="s">
        <v>118</v>
      </c>
      <c r="O49" s="8" t="n">
        <f aca="false">(L49-J49)/J49</f>
        <v>-0.0708333333333333</v>
      </c>
      <c r="P49" s="0" t="str">
        <f aca="false">P48</f>
        <v>}\\</v>
      </c>
    </row>
    <row r="50" customFormat="false" ht="15" hidden="false" customHeight="false" outlineLevel="0" collapsed="false">
      <c r="A50" s="0" t="s">
        <v>104</v>
      </c>
      <c r="B50" s="0" t="s">
        <v>91</v>
      </c>
      <c r="C50" s="15" t="n">
        <f aca="false">C44/C$49</f>
        <v>22.8681818181818</v>
      </c>
      <c r="D50" s="0" t="s">
        <v>91</v>
      </c>
      <c r="E50" s="15" t="n">
        <f aca="false">E44/E49</f>
        <v>19.1883408071749</v>
      </c>
      <c r="F50" s="0" t="s">
        <v>91</v>
      </c>
      <c r="G50" s="0" t="str">
        <f aca="false">IF(H50&gt;0,"\textcolor{red}{+","\textcolor{OliveGreen}{")</f>
        <v>\textcolor{OliveGreen}{</v>
      </c>
      <c r="H50" s="8" t="n">
        <f aca="false">(E50-C50)/C50</f>
        <v>-0.160915329441766</v>
      </c>
      <c r="I50" s="8" t="s">
        <v>115</v>
      </c>
      <c r="J50" s="15" t="n">
        <v>24.3166666666667</v>
      </c>
      <c r="K50" s="8" t="s">
        <v>91</v>
      </c>
      <c r="L50" s="15" t="n">
        <f aca="false">L44/L49</f>
        <v>20.219730941704</v>
      </c>
      <c r="M50" s="8" t="s">
        <v>91</v>
      </c>
      <c r="N50" s="8" t="s">
        <v>116</v>
      </c>
      <c r="O50" s="8" t="n">
        <f aca="false">(L50-J50)/J50</f>
        <v>-0.168482620629033</v>
      </c>
      <c r="P50" s="0" t="str">
        <f aca="false">P47</f>
        <v>}\\</v>
      </c>
    </row>
    <row r="51" customFormat="false" ht="15" hidden="false" customHeight="false" outlineLevel="0" collapsed="false">
      <c r="A51" s="0" t="s">
        <v>105</v>
      </c>
      <c r="B51" s="0" t="s">
        <v>91</v>
      </c>
      <c r="C51" s="15" t="n">
        <f aca="false">C45/C$49</f>
        <v>11.1363636363636</v>
      </c>
      <c r="D51" s="0" t="s">
        <v>91</v>
      </c>
      <c r="E51" s="15" t="n">
        <f aca="false">E45/E49</f>
        <v>10.0986547085202</v>
      </c>
      <c r="F51" s="0" t="s">
        <v>91</v>
      </c>
      <c r="G51" s="0" t="str">
        <f aca="false">IF(H51&gt;0,"\textcolor{red}{+","\textcolor{OliveGreen}{")</f>
        <v>\textcolor{OliveGreen}{</v>
      </c>
      <c r="H51" s="8" t="n">
        <f aca="false">(E51-C51)/C51</f>
        <v>-0.0931820261736982</v>
      </c>
      <c r="I51" s="8" t="s">
        <v>115</v>
      </c>
      <c r="J51" s="15" t="n">
        <v>33.3291666666667</v>
      </c>
      <c r="K51" s="8" t="s">
        <v>91</v>
      </c>
      <c r="L51" s="15" t="n">
        <f aca="false">L45/L49</f>
        <v>28.2556053811659</v>
      </c>
      <c r="M51" s="8" t="s">
        <v>91</v>
      </c>
      <c r="N51" s="8" t="s">
        <v>116</v>
      </c>
      <c r="O51" s="8" t="n">
        <f aca="false">(L51-J51)/J51</f>
        <v>-0.152225866798373</v>
      </c>
      <c r="P51" s="0" t="str">
        <f aca="false">P50</f>
        <v>}\\</v>
      </c>
    </row>
    <row r="52" customFormat="false" ht="15" hidden="false" customHeight="false" outlineLevel="0" collapsed="false">
      <c r="A52" s="0" t="s">
        <v>106</v>
      </c>
      <c r="B52" s="0" t="s">
        <v>91</v>
      </c>
      <c r="C52" s="7" t="n">
        <f aca="false">Results!B18</f>
        <v>61823</v>
      </c>
      <c r="D52" s="0" t="s">
        <v>91</v>
      </c>
      <c r="E52" s="7" t="n">
        <f aca="false">Results!B26</f>
        <v>50145</v>
      </c>
      <c r="F52" s="0" t="s">
        <v>91</v>
      </c>
      <c r="G52" s="0" t="str">
        <f aca="false">IF(H52&gt;0,"\textcolor{red}{+","\textcolor{OliveGreen}{")</f>
        <v>\textcolor{OliveGreen}{</v>
      </c>
      <c r="H52" s="8" t="n">
        <f aca="false">(E52-C52)/C52</f>
        <v>-0.188894100900959</v>
      </c>
      <c r="I52" s="8" t="s">
        <v>115</v>
      </c>
      <c r="J52" s="7" t="n">
        <v>69727</v>
      </c>
      <c r="K52" s="8" t="s">
        <v>91</v>
      </c>
      <c r="L52" s="7" t="n">
        <v>50373</v>
      </c>
      <c r="M52" s="8" t="s">
        <v>91</v>
      </c>
      <c r="N52" s="8" t="s">
        <v>116</v>
      </c>
      <c r="O52" s="8" t="n">
        <f aca="false">(L52-J52)/J52</f>
        <v>-0.277568230384213</v>
      </c>
      <c r="P52" s="0" t="str">
        <f aca="false">P51</f>
        <v>}\\</v>
      </c>
    </row>
    <row r="53" customFormat="false" ht="15" hidden="false" customHeight="false" outlineLevel="0" collapsed="false">
      <c r="A53" s="0" t="s">
        <v>107</v>
      </c>
      <c r="B53" s="0" t="s">
        <v>91</v>
      </c>
      <c r="C53" s="7" t="n">
        <f aca="false">Results!E18</f>
        <v>146373</v>
      </c>
      <c r="D53" s="0" t="s">
        <v>91</v>
      </c>
      <c r="E53" s="7" t="n">
        <f aca="false">Results!E26</f>
        <v>117657</v>
      </c>
      <c r="F53" s="0" t="s">
        <v>91</v>
      </c>
      <c r="G53" s="0" t="str">
        <f aca="false">IF(H53&gt;0,"\textcolor{red}{+","\textcolor{OliveGreen}{")</f>
        <v>\textcolor{OliveGreen}{</v>
      </c>
      <c r="H53" s="8" t="n">
        <f aca="false">(E53-C53)/C53</f>
        <v>-0.196183722407821</v>
      </c>
      <c r="I53" s="8" t="s">
        <v>115</v>
      </c>
      <c r="J53" s="7" t="n">
        <v>157660</v>
      </c>
      <c r="K53" s="8" t="s">
        <v>91</v>
      </c>
      <c r="L53" s="7" t="n">
        <v>112311</v>
      </c>
      <c r="M53" s="8" t="s">
        <v>91</v>
      </c>
      <c r="N53" s="8" t="s">
        <v>116</v>
      </c>
      <c r="O53" s="8" t="n">
        <f aca="false">(L53-J53)/J53</f>
        <v>-0.287637955093239</v>
      </c>
      <c r="P53" s="0" t="str">
        <f aca="false">P52</f>
        <v>}\\</v>
      </c>
    </row>
    <row r="54" customFormat="false" ht="15" hidden="false" customHeight="false" outlineLevel="0" collapsed="false">
      <c r="A54" s="0" t="s">
        <v>108</v>
      </c>
      <c r="B54" s="0" t="s">
        <v>91</v>
      </c>
      <c r="C54" s="7" t="n">
        <f aca="false">Results!D18</f>
        <v>4</v>
      </c>
      <c r="D54" s="0" t="s">
        <v>91</v>
      </c>
      <c r="E54" s="7" t="n">
        <f aca="false">Results!D26</f>
        <v>4</v>
      </c>
      <c r="F54" s="0" t="s">
        <v>91</v>
      </c>
      <c r="G54" s="0" t="str">
        <f aca="false">IF(H54&gt;0,"\textcolor{red}{+","\textcolor{OliveGreen}{")</f>
        <v>\textcolor{OliveGreen}{</v>
      </c>
      <c r="H54" s="8" t="n">
        <f aca="false">(E54-C54)/C54</f>
        <v>0</v>
      </c>
      <c r="I54" s="8" t="s">
        <v>115</v>
      </c>
      <c r="J54" s="7" t="n">
        <v>6</v>
      </c>
      <c r="K54" s="8" t="s">
        <v>91</v>
      </c>
      <c r="L54" s="7" t="n">
        <v>6</v>
      </c>
      <c r="M54" s="8" t="s">
        <v>91</v>
      </c>
      <c r="N54" s="8" t="s">
        <v>116</v>
      </c>
      <c r="O54" s="8" t="n">
        <f aca="false">(L54-J54)/J54</f>
        <v>0</v>
      </c>
      <c r="P54" s="0" t="str">
        <f aca="false">P53</f>
        <v>}\\</v>
      </c>
    </row>
    <row r="55" customFormat="false" ht="15" hidden="false" customHeight="false" outlineLevel="0" collapsed="false">
      <c r="A55" s="0" t="s">
        <v>109</v>
      </c>
      <c r="B55" s="0" t="s">
        <v>91</v>
      </c>
      <c r="C55" s="7" t="n">
        <f aca="false">Results!F18</f>
        <v>183.82</v>
      </c>
      <c r="D55" s="0" t="s">
        <v>91</v>
      </c>
      <c r="E55" s="7" t="n">
        <f aca="false">Results!F26</f>
        <v>184.2</v>
      </c>
      <c r="F55" s="0" t="s">
        <v>91</v>
      </c>
      <c r="G55" s="0" t="str">
        <f aca="false">IF(H55&gt;0,"\textcolor{OliveGreen}{+","\textcolor{red}{")</f>
        <v>\textcolor{OliveGreen}{+</v>
      </c>
      <c r="H55" s="8" t="n">
        <f aca="false">(E55-C55)/C55</f>
        <v>0.00206723969100204</v>
      </c>
      <c r="I55" s="8" t="s">
        <v>115</v>
      </c>
      <c r="J55" s="7" t="n">
        <v>187.55</v>
      </c>
      <c r="K55" s="8" t="s">
        <v>91</v>
      </c>
      <c r="L55" s="7" t="n">
        <v>197.23</v>
      </c>
      <c r="M55" s="8" t="s">
        <v>91</v>
      </c>
      <c r="N55" s="8" t="s">
        <v>119</v>
      </c>
      <c r="O55" s="8" t="n">
        <f aca="false">(L55-J55)/J55</f>
        <v>0.0516129032258063</v>
      </c>
      <c r="P55" s="0" t="str">
        <f aca="false">P54</f>
        <v>}\\</v>
      </c>
    </row>
    <row r="56" customFormat="false" ht="15" hidden="false" customHeight="false" outlineLevel="0" collapsed="false">
      <c r="A56" s="0" t="s">
        <v>104</v>
      </c>
      <c r="B56" s="0" t="s">
        <v>91</v>
      </c>
      <c r="C56" s="15" t="n">
        <f aca="false">C44/(C$55)</f>
        <v>27.3691654879774</v>
      </c>
      <c r="D56" s="0" t="s">
        <v>91</v>
      </c>
      <c r="E56" s="15" t="n">
        <f aca="false">E44/E$55</f>
        <v>23.2301845819761</v>
      </c>
      <c r="F56" s="0" t="s">
        <v>91</v>
      </c>
      <c r="G56" s="0" t="str">
        <f aca="false">IF(H56&gt;0,"\textcolor{red}{+","\textcolor{OliveGreen}{")</f>
        <v>\textcolor{OliveGreen}{</v>
      </c>
      <c r="H56" s="8" t="n">
        <f aca="false">(E56-C56)/C56</f>
        <v>-0.151227881165007</v>
      </c>
      <c r="I56" s="8" t="s">
        <v>115</v>
      </c>
      <c r="J56" s="15" t="n">
        <v>31.1170354572114</v>
      </c>
      <c r="K56" s="8" t="s">
        <v>91</v>
      </c>
      <c r="L56" s="15" t="n">
        <v>22.8616336257162</v>
      </c>
      <c r="M56" s="8" t="s">
        <v>91</v>
      </c>
      <c r="N56" s="8" t="s">
        <v>116</v>
      </c>
      <c r="O56" s="8" t="n">
        <f aca="false">(L56-J56)/J56</f>
        <v>-0.265301681545052</v>
      </c>
      <c r="P56" s="0" t="str">
        <f aca="false">P53</f>
        <v>}\\</v>
      </c>
    </row>
    <row r="57" customFormat="false" ht="15" hidden="false" customHeight="false" outlineLevel="0" collapsed="false">
      <c r="A57" s="0" t="s">
        <v>105</v>
      </c>
      <c r="B57" s="0" t="s">
        <v>91</v>
      </c>
      <c r="C57" s="15" t="n">
        <f aca="false">C45/(C$55)</f>
        <v>13.3282559025133</v>
      </c>
      <c r="D57" s="0" t="s">
        <v>91</v>
      </c>
      <c r="E57" s="15" t="n">
        <f aca="false">E45/E$55</f>
        <v>12.2258414766558</v>
      </c>
      <c r="F57" s="0" t="s">
        <v>91</v>
      </c>
      <c r="G57" s="0" t="str">
        <f aca="false">IF(H57&gt;0,"\textcolor{red}{+","\textcolor{OliveGreen}{")</f>
        <v>\textcolor{OliveGreen}{</v>
      </c>
      <c r="H57" s="8" t="n">
        <f aca="false">(E57-C57)/C57</f>
        <v>-0.0827125794943385</v>
      </c>
      <c r="I57" s="8" t="s">
        <v>115</v>
      </c>
      <c r="J57" s="15" t="n">
        <v>42.6499600106638</v>
      </c>
      <c r="K57" s="8" t="s">
        <v>91</v>
      </c>
      <c r="L57" s="15" t="n">
        <v>31.9474724940425</v>
      </c>
      <c r="M57" s="8" t="s">
        <v>91</v>
      </c>
      <c r="N57" s="8" t="s">
        <v>116</v>
      </c>
      <c r="O57" s="8" t="n">
        <f aca="false">(L57-J57)/J57</f>
        <v>-0.250937808943909</v>
      </c>
      <c r="P57" s="0" t="str">
        <f aca="false">P56</f>
        <v>}\\</v>
      </c>
    </row>
    <row r="58" s="12" customFormat="true" ht="15" hidden="false" customHeight="false" outlineLevel="0" collapsed="false">
      <c r="A58" s="9" t="s">
        <v>90</v>
      </c>
      <c r="B58" s="9" t="s">
        <v>91</v>
      </c>
      <c r="C58" s="10" t="str">
        <f aca="false">Cycle_estimation!A25</f>
        <v>1PKE_0d</v>
      </c>
      <c r="D58" s="9" t="s">
        <v>91</v>
      </c>
      <c r="E58" s="10" t="str">
        <f aca="false">Cycle_estimation_with_XEf!A25</f>
        <v>1PKE_5d</v>
      </c>
      <c r="F58" s="9" t="s">
        <v>91</v>
      </c>
      <c r="H58" s="11"/>
      <c r="I58" s="11"/>
      <c r="J58" s="11"/>
      <c r="K58" s="11"/>
      <c r="L58" s="11"/>
      <c r="M58" s="11"/>
      <c r="N58" s="11"/>
      <c r="O58" s="11"/>
      <c r="P58" s="9" t="str">
        <f aca="false">P47</f>
        <v>}\\</v>
      </c>
    </row>
    <row r="59" customFormat="false" ht="15" hidden="false" customHeight="false" outlineLevel="0" collapsed="false">
      <c r="A59" s="13" t="s">
        <v>93</v>
      </c>
      <c r="B59" s="0" t="s">
        <v>91</v>
      </c>
      <c r="C59" s="7" t="n">
        <v>586</v>
      </c>
      <c r="D59" s="0" t="s">
        <v>91</v>
      </c>
      <c r="E59" s="7" t="n">
        <v>508</v>
      </c>
      <c r="F59" s="0" t="s">
        <v>91</v>
      </c>
      <c r="G59" s="0" t="str">
        <f aca="false">IF(H59&gt;0,"\textcolor{red}{+","\textcolor{OliveGreen}{")</f>
        <v>\textcolor{OliveGreen}{</v>
      </c>
      <c r="H59" s="8" t="n">
        <f aca="false">(E59-C59)/C59</f>
        <v>-0.133105802047782</v>
      </c>
      <c r="P59" s="0" t="s">
        <v>94</v>
      </c>
    </row>
    <row r="60" customFormat="false" ht="15" hidden="false" customHeight="false" outlineLevel="0" collapsed="false">
      <c r="A60" s="13" t="s">
        <v>95</v>
      </c>
      <c r="B60" s="0" t="s">
        <v>91</v>
      </c>
      <c r="C60" s="7" t="n">
        <v>676</v>
      </c>
      <c r="D60" s="0" t="s">
        <v>91</v>
      </c>
      <c r="E60" s="7" t="n">
        <v>461</v>
      </c>
      <c r="F60" s="0" t="s">
        <v>91</v>
      </c>
      <c r="G60" s="0" t="str">
        <f aca="false">IF(H60&gt;0,"\textcolor{red}{+","\textcolor{OliveGreen}{")</f>
        <v>\textcolor{OliveGreen}{</v>
      </c>
      <c r="H60" s="8" t="n">
        <f aca="false">(E60-C60)/C60</f>
        <v>-0.318047337278107</v>
      </c>
      <c r="P60" s="0" t="s">
        <v>94</v>
      </c>
    </row>
    <row r="61" customFormat="false" ht="15" hidden="false" customHeight="false" outlineLevel="0" collapsed="false">
      <c r="A61" s="13" t="s">
        <v>96</v>
      </c>
      <c r="B61" s="0" t="s">
        <v>91</v>
      </c>
      <c r="C61" s="7" t="n">
        <v>708</v>
      </c>
      <c r="D61" s="0" t="s">
        <v>91</v>
      </c>
      <c r="E61" s="7" t="n">
        <v>493</v>
      </c>
      <c r="F61" s="0" t="s">
        <v>91</v>
      </c>
      <c r="G61" s="0" t="str">
        <f aca="false">IF(H61&gt;0,"\textcolor{red}{+","\textcolor{OliveGreen}{")</f>
        <v>\textcolor{OliveGreen}{</v>
      </c>
      <c r="H61" s="8" t="n">
        <f aca="false">(E61-C61)/C61</f>
        <v>-0.303672316384181</v>
      </c>
      <c r="P61" s="0" t="s">
        <v>94</v>
      </c>
    </row>
    <row r="62" customFormat="false" ht="15" hidden="false" customHeight="false" outlineLevel="0" collapsed="false">
      <c r="A62" s="13" t="s">
        <v>97</v>
      </c>
      <c r="B62" s="0" t="s">
        <v>91</v>
      </c>
      <c r="C62" s="7" t="n">
        <v>756</v>
      </c>
      <c r="D62" s="0" t="s">
        <v>91</v>
      </c>
      <c r="E62" s="7" t="n">
        <v>636</v>
      </c>
      <c r="F62" s="0" t="s">
        <v>91</v>
      </c>
      <c r="G62" s="0" t="str">
        <f aca="false">IF(H62&gt;0,"\textcolor{red}{+","\textcolor{OliveGreen}{")</f>
        <v>\textcolor{OliveGreen}{</v>
      </c>
      <c r="H62" s="8" t="n">
        <f aca="false">(E62-C62)/C62</f>
        <v>-0.158730158730159</v>
      </c>
      <c r="P62" s="0" t="s">
        <v>94</v>
      </c>
    </row>
    <row r="63" customFormat="false" ht="15" hidden="false" customHeight="false" outlineLevel="0" collapsed="false">
      <c r="A63" s="0" t="s">
        <v>98</v>
      </c>
      <c r="B63" s="0" t="s">
        <v>91</v>
      </c>
      <c r="C63" s="7" t="n">
        <f aca="false">Cycle_estimation!B25</f>
        <v>2990</v>
      </c>
      <c r="D63" s="0" t="s">
        <v>91</v>
      </c>
      <c r="E63" s="7" t="n">
        <f aca="false">Cycle_estimation_with_XEf!B25</f>
        <v>2423</v>
      </c>
      <c r="F63" s="0" t="s">
        <v>91</v>
      </c>
      <c r="G63" s="0" t="str">
        <f aca="false">IF(H63&gt;0,"\textcolor{red}{+","\textcolor{OliveGreen}{")</f>
        <v>\textcolor{OliveGreen}{</v>
      </c>
      <c r="H63" s="8" t="n">
        <f aca="false">(E63-C63)/C63</f>
        <v>-0.189632107023411</v>
      </c>
      <c r="P63" s="0" t="str">
        <f aca="false">P58</f>
        <v>}\\</v>
      </c>
    </row>
    <row r="64" customFormat="false" ht="15" hidden="false" customHeight="false" outlineLevel="0" collapsed="false">
      <c r="A64" s="0" t="s">
        <v>99</v>
      </c>
      <c r="B64" s="0" t="s">
        <v>91</v>
      </c>
      <c r="C64" s="7" t="n">
        <f aca="false">Cycle_estimation!C25</f>
        <v>4063</v>
      </c>
      <c r="D64" s="0" t="s">
        <v>91</v>
      </c>
      <c r="E64" s="7" t="n">
        <f aca="false">Cycle_estimation_with_XEf!C25</f>
        <v>3395</v>
      </c>
      <c r="F64" s="0" t="s">
        <v>91</v>
      </c>
      <c r="G64" s="0" t="str">
        <f aca="false">IF(H64&gt;0,"\textcolor{red}{+","\textcolor{OliveGreen}{")</f>
        <v>\textcolor{OliveGreen}{</v>
      </c>
      <c r="H64" s="8" t="n">
        <f aca="false">(E64-C64)/C64</f>
        <v>-0.164410534088112</v>
      </c>
      <c r="P64" s="0" t="str">
        <f aca="false">P63</f>
        <v>}\\</v>
      </c>
    </row>
    <row r="65" customFormat="false" ht="15" hidden="false" customHeight="false" outlineLevel="0" collapsed="false">
      <c r="A65" s="0" t="s">
        <v>110</v>
      </c>
      <c r="B65" s="0" t="s">
        <v>91</v>
      </c>
      <c r="C65" s="7" t="n">
        <v>52587</v>
      </c>
      <c r="D65" s="0" t="s">
        <v>91</v>
      </c>
      <c r="E65" s="14"/>
      <c r="F65" s="0" t="s">
        <v>91</v>
      </c>
      <c r="G65" s="0" t="str">
        <f aca="false">IF(H65&gt;0,"\textcolor{red}{+","\textcolor{OliveGreen}{")</f>
        <v>\textcolor{OliveGreen}{</v>
      </c>
      <c r="H65" s="8" t="n">
        <f aca="false">(E65-C65)/C65</f>
        <v>-1</v>
      </c>
      <c r="P65" s="0" t="str">
        <f aca="false">P64</f>
        <v>}\\</v>
      </c>
    </row>
    <row r="66" customFormat="false" ht="15" hidden="false" customHeight="false" outlineLevel="0" collapsed="false">
      <c r="A66" s="0" t="s">
        <v>111</v>
      </c>
      <c r="B66" s="0" t="s">
        <v>91</v>
      </c>
      <c r="C66" s="7" t="n">
        <v>10674</v>
      </c>
      <c r="D66" s="0" t="s">
        <v>91</v>
      </c>
      <c r="E66" s="14"/>
      <c r="F66" s="0" t="s">
        <v>91</v>
      </c>
      <c r="G66" s="0" t="str">
        <f aca="false">IF(H66&gt;0,"\textcolor{red}{+","\textcolor{OliveGreen}{")</f>
        <v>\textcolor{OliveGreen}{</v>
      </c>
      <c r="H66" s="8" t="n">
        <f aca="false">(E66-C66)/C66</f>
        <v>-1</v>
      </c>
      <c r="P66" s="0" t="str">
        <f aca="false">P65</f>
        <v>}\\</v>
      </c>
    </row>
    <row r="67" customFormat="false" ht="15" hidden="false" customHeight="false" outlineLevel="0" collapsed="false">
      <c r="A67" s="0" t="s">
        <v>112</v>
      </c>
      <c r="B67" s="0" t="s">
        <v>91</v>
      </c>
      <c r="C67" s="7" t="n">
        <v>2</v>
      </c>
      <c r="D67" s="0" t="s">
        <v>91</v>
      </c>
      <c r="E67" s="14"/>
      <c r="F67" s="0" t="s">
        <v>91</v>
      </c>
      <c r="G67" s="0" t="str">
        <f aca="false">IF(H67&gt;0,"\textcolor{red}{+","\textcolor{OliveGreen}{")</f>
        <v>\textcolor{OliveGreen}{</v>
      </c>
      <c r="H67" s="8" t="n">
        <f aca="false">(E67-C67)/C67</f>
        <v>-1</v>
      </c>
      <c r="P67" s="0" t="str">
        <f aca="false">P66</f>
        <v>}\\</v>
      </c>
    </row>
    <row r="68" customFormat="false" ht="15" hidden="false" customHeight="false" outlineLevel="0" collapsed="false">
      <c r="A68" s="0" t="s">
        <v>113</v>
      </c>
      <c r="B68" s="0" t="s">
        <v>91</v>
      </c>
      <c r="C68" s="7" t="n">
        <v>260</v>
      </c>
      <c r="D68" s="0" t="s">
        <v>91</v>
      </c>
      <c r="E68" s="14"/>
      <c r="F68" s="0" t="s">
        <v>91</v>
      </c>
      <c r="G68" s="0" t="str">
        <f aca="false">IF(H68&gt;0,"\textcolor{OliveGreen}{+","\textcolor{red}{")</f>
        <v>\textcolor{red}{</v>
      </c>
      <c r="H68" s="8" t="n">
        <f aca="false">(E68-C68)/C68</f>
        <v>-1</v>
      </c>
      <c r="P68" s="0" t="str">
        <f aca="false">P67</f>
        <v>}\\</v>
      </c>
    </row>
    <row r="69" customFormat="false" ht="15" hidden="false" customHeight="false" outlineLevel="0" collapsed="false">
      <c r="A69" s="0" t="s">
        <v>104</v>
      </c>
      <c r="B69" s="0" t="s">
        <v>91</v>
      </c>
      <c r="C69" s="15" t="n">
        <f aca="false">C63/C$68</f>
        <v>11.5</v>
      </c>
      <c r="D69" s="0" t="s">
        <v>91</v>
      </c>
      <c r="E69" s="16" t="n">
        <v>1</v>
      </c>
      <c r="F69" s="0" t="s">
        <v>91</v>
      </c>
      <c r="G69" s="0" t="str">
        <f aca="false">IF(H69&gt;0,"\textcolor{red}{+","\textcolor{OliveGreen}{")</f>
        <v>\textcolor{OliveGreen}{</v>
      </c>
      <c r="H69" s="8" t="n">
        <f aca="false">(E69-C69)/C69</f>
        <v>-0.91304347826087</v>
      </c>
      <c r="P69" s="0" t="str">
        <f aca="false">P66</f>
        <v>}\\</v>
      </c>
    </row>
    <row r="70" customFormat="false" ht="15" hidden="false" customHeight="false" outlineLevel="0" collapsed="false">
      <c r="A70" s="0" t="s">
        <v>105</v>
      </c>
      <c r="B70" s="0" t="s">
        <v>91</v>
      </c>
      <c r="C70" s="15" t="n">
        <f aca="false">C64/C$68</f>
        <v>15.6269230769231</v>
      </c>
      <c r="D70" s="0" t="s">
        <v>91</v>
      </c>
      <c r="E70" s="16" t="n">
        <v>1</v>
      </c>
      <c r="F70" s="0" t="s">
        <v>91</v>
      </c>
      <c r="G70" s="0" t="str">
        <f aca="false">IF(H70&gt;0,"\textcolor{red}{+","\textcolor{OliveGreen}{")</f>
        <v>\textcolor{OliveGreen}{</v>
      </c>
      <c r="H70" s="8" t="n">
        <f aca="false">(E70-C70)/C70</f>
        <v>-0.936007875953729</v>
      </c>
      <c r="P70" s="0" t="str">
        <f aca="false">P69</f>
        <v>}\\</v>
      </c>
    </row>
    <row r="71" customFormat="false" ht="15" hidden="false" customHeight="false" outlineLevel="0" collapsed="false">
      <c r="A71" s="0" t="s">
        <v>106</v>
      </c>
      <c r="B71" s="0" t="s">
        <v>91</v>
      </c>
      <c r="C71" s="7" t="n">
        <f aca="false">Results!B19</f>
        <v>37252</v>
      </c>
      <c r="D71" s="0" t="s">
        <v>91</v>
      </c>
      <c r="E71" s="7" t="n">
        <f aca="false">Results!B27</f>
        <v>26998</v>
      </c>
      <c r="F71" s="0" t="s">
        <v>91</v>
      </c>
      <c r="G71" s="0" t="str">
        <f aca="false">IF(H71&gt;0,"\textcolor{red}{+","\textcolor{OliveGreen}{")</f>
        <v>\textcolor{OliveGreen}{</v>
      </c>
      <c r="H71" s="8" t="n">
        <f aca="false">(E71-C71)/C71</f>
        <v>-0.275260388703962</v>
      </c>
      <c r="P71" s="0" t="str">
        <f aca="false">P70</f>
        <v>}\\</v>
      </c>
    </row>
    <row r="72" customFormat="false" ht="15" hidden="false" customHeight="false" outlineLevel="0" collapsed="false">
      <c r="A72" s="0" t="s">
        <v>107</v>
      </c>
      <c r="B72" s="0" t="s">
        <v>91</v>
      </c>
      <c r="C72" s="7" t="n">
        <f aca="false">Results!E19</f>
        <v>82814</v>
      </c>
      <c r="D72" s="0" t="s">
        <v>91</v>
      </c>
      <c r="E72" s="7" t="n">
        <f aca="false">Results!E27</f>
        <v>57028</v>
      </c>
      <c r="F72" s="0" t="s">
        <v>91</v>
      </c>
      <c r="G72" s="0" t="str">
        <f aca="false">IF(H72&gt;0,"\textcolor{red}{+","\textcolor{OliveGreen}{")</f>
        <v>\textcolor{OliveGreen}{</v>
      </c>
      <c r="H72" s="8" t="n">
        <f aca="false">(E72-C72)/C72</f>
        <v>-0.311372473253315</v>
      </c>
      <c r="P72" s="0" t="str">
        <f aca="false">P71</f>
        <v>}\\</v>
      </c>
    </row>
    <row r="73" customFormat="false" ht="15" hidden="false" customHeight="false" outlineLevel="0" collapsed="false">
      <c r="A73" s="0" t="s">
        <v>108</v>
      </c>
      <c r="B73" s="0" t="s">
        <v>91</v>
      </c>
      <c r="C73" s="7" t="n">
        <f aca="false">Results!D19</f>
        <v>6</v>
      </c>
      <c r="D73" s="0" t="s">
        <v>91</v>
      </c>
      <c r="E73" s="7" t="n">
        <f aca="false">Results!D27</f>
        <v>6</v>
      </c>
      <c r="F73" s="0" t="s">
        <v>91</v>
      </c>
      <c r="G73" s="0" t="str">
        <f aca="false">IF(H73&gt;0,"\textcolor{red}{+","\textcolor{OliveGreen}{")</f>
        <v>\textcolor{OliveGreen}{</v>
      </c>
      <c r="H73" s="8" t="n">
        <f aca="false">(E73-C73)/C73</f>
        <v>0</v>
      </c>
      <c r="P73" s="0" t="str">
        <f aca="false">P72</f>
        <v>}\\</v>
      </c>
    </row>
    <row r="74" customFormat="false" ht="15" hidden="false" customHeight="false" outlineLevel="0" collapsed="false">
      <c r="A74" s="0" t="s">
        <v>109</v>
      </c>
      <c r="B74" s="0" t="s">
        <v>91</v>
      </c>
      <c r="C74" s="7" t="n">
        <f aca="false">Results!F19</f>
        <v>191.09</v>
      </c>
      <c r="D74" s="0" t="s">
        <v>91</v>
      </c>
      <c r="E74" s="7" t="n">
        <f aca="false">Results!F27</f>
        <v>193.57</v>
      </c>
      <c r="F74" s="0" t="s">
        <v>91</v>
      </c>
      <c r="G74" s="0" t="str">
        <f aca="false">IF(H74&gt;0,"\textcolor{OliveGreen}{+","\textcolor{red}{")</f>
        <v>\textcolor{OliveGreen}{+</v>
      </c>
      <c r="H74" s="8" t="n">
        <f aca="false">(E74-C74)/C74</f>
        <v>0.0129781778219687</v>
      </c>
      <c r="P74" s="0" t="str">
        <f aca="false">P73</f>
        <v>}\\</v>
      </c>
    </row>
    <row r="75" customFormat="false" ht="15" hidden="false" customHeight="false" outlineLevel="0" collapsed="false">
      <c r="A75" s="0" t="s">
        <v>104</v>
      </c>
      <c r="B75" s="0" t="s">
        <v>91</v>
      </c>
      <c r="C75" s="15" t="n">
        <f aca="false">C63/(C$74)</f>
        <v>15.6470772934219</v>
      </c>
      <c r="D75" s="0" t="s">
        <v>91</v>
      </c>
      <c r="E75" s="15" t="n">
        <f aca="false">E63/E$74</f>
        <v>12.5174355530299</v>
      </c>
      <c r="F75" s="0" t="s">
        <v>91</v>
      </c>
      <c r="G75" s="0" t="str">
        <f aca="false">IF(H75&gt;0,"\textcolor{red}{+","\textcolor{OliveGreen}{")</f>
        <v>\textcolor{OliveGreen}{</v>
      </c>
      <c r="H75" s="8" t="n">
        <f aca="false">(E75-C75)/C75</f>
        <v>-0.200014461595824</v>
      </c>
      <c r="P75" s="0" t="str">
        <f aca="false">P72</f>
        <v>}\\</v>
      </c>
    </row>
    <row r="76" customFormat="false" ht="15" hidden="false" customHeight="false" outlineLevel="0" collapsed="false">
      <c r="A76" s="0" t="s">
        <v>105</v>
      </c>
      <c r="B76" s="0" t="s">
        <v>91</v>
      </c>
      <c r="C76" s="15" t="n">
        <f aca="false">C64/(C$74)</f>
        <v>21.2622324559108</v>
      </c>
      <c r="D76" s="0" t="s">
        <v>91</v>
      </c>
      <c r="E76" s="15" t="n">
        <f aca="false">E64/E$74</f>
        <v>17.5388748256445</v>
      </c>
      <c r="F76" s="0" t="s">
        <v>91</v>
      </c>
      <c r="G76" s="0" t="str">
        <f aca="false">IF(H76&gt;0,"\textcolor{red}{+","\textcolor{OliveGreen}{")</f>
        <v>\textcolor{OliveGreen}{</v>
      </c>
      <c r="H76" s="8" t="n">
        <f aca="false">(E76-C76)/C76</f>
        <v>-0.175116024998178</v>
      </c>
      <c r="P76" s="0" t="str">
        <f aca="false">P75</f>
        <v>}\\</v>
      </c>
    </row>
    <row r="77" s="12" customFormat="true" ht="15" hidden="false" customHeight="false" outlineLevel="0" collapsed="false">
      <c r="A77" s="9" t="s">
        <v>90</v>
      </c>
      <c r="B77" s="9" t="s">
        <v>91</v>
      </c>
      <c r="C77" s="10" t="str">
        <f aca="false">Cycle_estimation!A26</f>
        <v>3PKE_0d</v>
      </c>
      <c r="D77" s="9" t="s">
        <v>91</v>
      </c>
      <c r="E77" s="10" t="str">
        <f aca="false">Cycle_estimation_with_XEf!A26</f>
        <v>3PKE_5d</v>
      </c>
      <c r="F77" s="9" t="s">
        <v>91</v>
      </c>
      <c r="H77" s="11"/>
      <c r="I77" s="11"/>
      <c r="J77" s="11"/>
      <c r="K77" s="11"/>
      <c r="L77" s="11"/>
      <c r="M77" s="11"/>
      <c r="N77" s="11"/>
      <c r="O77" s="11"/>
      <c r="P77" s="9" t="str">
        <f aca="false">P70</f>
        <v>}\\</v>
      </c>
    </row>
    <row r="78" customFormat="false" ht="15" hidden="false" customHeight="false" outlineLevel="0" collapsed="false">
      <c r="A78" s="13" t="s">
        <v>93</v>
      </c>
      <c r="B78" s="0" t="s">
        <v>91</v>
      </c>
      <c r="C78" s="7" t="n">
        <v>852</v>
      </c>
      <c r="D78" s="0" t="s">
        <v>91</v>
      </c>
      <c r="E78" s="7" t="n">
        <v>756</v>
      </c>
      <c r="F78" s="0" t="s">
        <v>91</v>
      </c>
      <c r="G78" s="0" t="str">
        <f aca="false">IF(H78&gt;0,"\textcolor{red}{+","\textcolor{OliveGreen}{")</f>
        <v>\textcolor{OliveGreen}{</v>
      </c>
      <c r="H78" s="8" t="n">
        <f aca="false">(E78-C78)/C78</f>
        <v>-0.112676056338028</v>
      </c>
      <c r="P78" s="0" t="s">
        <v>94</v>
      </c>
    </row>
    <row r="79" customFormat="false" ht="15" hidden="false" customHeight="false" outlineLevel="0" collapsed="false">
      <c r="A79" s="13" t="s">
        <v>95</v>
      </c>
      <c r="B79" s="0" t="s">
        <v>91</v>
      </c>
      <c r="C79" s="7" t="n">
        <v>983</v>
      </c>
      <c r="D79" s="0" t="s">
        <v>91</v>
      </c>
      <c r="E79" s="7" t="n">
        <v>780</v>
      </c>
      <c r="F79" s="0" t="s">
        <v>91</v>
      </c>
      <c r="G79" s="0" t="str">
        <f aca="false">IF(H79&gt;0,"\textcolor{red}{+","\textcolor{OliveGreen}{")</f>
        <v>\textcolor{OliveGreen}{</v>
      </c>
      <c r="H79" s="8" t="n">
        <f aca="false">(E79-C79)/C79</f>
        <v>-0.206510681586979</v>
      </c>
      <c r="P79" s="0" t="s">
        <v>94</v>
      </c>
    </row>
    <row r="80" customFormat="false" ht="15" hidden="false" customHeight="false" outlineLevel="0" collapsed="false">
      <c r="A80" s="13" t="s">
        <v>96</v>
      </c>
      <c r="B80" s="0" t="s">
        <v>91</v>
      </c>
      <c r="C80" s="7" t="n">
        <v>1031</v>
      </c>
      <c r="D80" s="0" t="s">
        <v>91</v>
      </c>
      <c r="E80" s="7" t="n">
        <v>828</v>
      </c>
      <c r="F80" s="0" t="s">
        <v>91</v>
      </c>
      <c r="G80" s="0" t="str">
        <f aca="false">IF(H80&gt;0,"\textcolor{red}{+","\textcolor{OliveGreen}{")</f>
        <v>\textcolor{OliveGreen}{</v>
      </c>
      <c r="H80" s="8" t="n">
        <f aca="false">(E80-C80)/C80</f>
        <v>-0.196896217264791</v>
      </c>
      <c r="P80" s="0" t="s">
        <v>94</v>
      </c>
    </row>
    <row r="81" customFormat="false" ht="15" hidden="false" customHeight="false" outlineLevel="0" collapsed="false">
      <c r="A81" s="13" t="s">
        <v>97</v>
      </c>
      <c r="B81" s="0" t="s">
        <v>91</v>
      </c>
      <c r="C81" s="7" t="n">
        <v>1119</v>
      </c>
      <c r="D81" s="0" t="s">
        <v>91</v>
      </c>
      <c r="E81" s="7" t="n">
        <v>950</v>
      </c>
      <c r="F81" s="0" t="s">
        <v>91</v>
      </c>
      <c r="G81" s="0" t="str">
        <f aca="false">IF(H81&gt;0,"\textcolor{red}{+","\textcolor{OliveGreen}{")</f>
        <v>\textcolor{OliveGreen}{</v>
      </c>
      <c r="H81" s="8" t="n">
        <f aca="false">(E81-C81)/C81</f>
        <v>-0.151027703306524</v>
      </c>
      <c r="P81" s="0" t="s">
        <v>94</v>
      </c>
    </row>
    <row r="82" customFormat="false" ht="15" hidden="false" customHeight="false" outlineLevel="0" collapsed="false">
      <c r="A82" s="0" t="s">
        <v>98</v>
      </c>
      <c r="B82" s="0" t="s">
        <v>91</v>
      </c>
      <c r="C82" s="7" t="n">
        <f aca="false">Cycle_estimation!B26</f>
        <v>4248</v>
      </c>
      <c r="D82" s="0" t="s">
        <v>91</v>
      </c>
      <c r="E82" s="7" t="n">
        <f aca="false">Cycle_estimation_with_XEf!B26</f>
        <v>3650</v>
      </c>
      <c r="F82" s="0" t="s">
        <v>91</v>
      </c>
      <c r="G82" s="0" t="str">
        <f aca="false">IF(H82&gt;0,"\textcolor{red}{+","\textcolor{OliveGreen}{")</f>
        <v>\textcolor{OliveGreen}{</v>
      </c>
      <c r="H82" s="8" t="n">
        <f aca="false">(E82-C82)/C82</f>
        <v>-0.140772128060264</v>
      </c>
      <c r="P82" s="0" t="str">
        <f aca="false">P77</f>
        <v>}\\</v>
      </c>
    </row>
    <row r="83" customFormat="false" ht="15" hidden="false" customHeight="false" outlineLevel="0" collapsed="false">
      <c r="A83" s="0" t="s">
        <v>99</v>
      </c>
      <c r="B83" s="0" t="s">
        <v>91</v>
      </c>
      <c r="C83" s="7" t="n">
        <f aca="false">Cycle_estimation!C26</f>
        <v>5839</v>
      </c>
      <c r="D83" s="0" t="s">
        <v>91</v>
      </c>
      <c r="E83" s="7" t="n">
        <f aca="false">Cycle_estimation_with_XEf!C26</f>
        <v>5076</v>
      </c>
      <c r="F83" s="0" t="s">
        <v>91</v>
      </c>
      <c r="G83" s="0" t="str">
        <f aca="false">IF(H83&gt;0,"\textcolor{red}{+","\textcolor{OliveGreen}{")</f>
        <v>\textcolor{OliveGreen}{</v>
      </c>
      <c r="H83" s="8" t="n">
        <f aca="false">(E83-C83)/C83</f>
        <v>-0.130673060455557</v>
      </c>
      <c r="P83" s="0" t="str">
        <f aca="false">P82</f>
        <v>}\\</v>
      </c>
    </row>
    <row r="84" customFormat="false" ht="15" hidden="false" customHeight="false" outlineLevel="0" collapsed="false">
      <c r="A84" s="0" t="s">
        <v>110</v>
      </c>
      <c r="B84" s="0" t="s">
        <v>91</v>
      </c>
      <c r="C84" s="7" t="n">
        <v>71044</v>
      </c>
      <c r="D84" s="0" t="s">
        <v>91</v>
      </c>
      <c r="E84" s="14"/>
      <c r="F84" s="0" t="s">
        <v>91</v>
      </c>
      <c r="G84" s="0" t="str">
        <f aca="false">IF(H84&gt;0,"\textcolor{red}{+","\textcolor{OliveGreen}{")</f>
        <v>\textcolor{OliveGreen}{</v>
      </c>
      <c r="H84" s="8" t="n">
        <f aca="false">(E84-C84)/C84</f>
        <v>-1</v>
      </c>
      <c r="P84" s="0" t="str">
        <f aca="false">P83</f>
        <v>}\\</v>
      </c>
    </row>
    <row r="85" customFormat="false" ht="15" hidden="false" customHeight="false" outlineLevel="0" collapsed="false">
      <c r="A85" s="0" t="s">
        <v>111</v>
      </c>
      <c r="B85" s="0" t="s">
        <v>91</v>
      </c>
      <c r="C85" s="7" t="n">
        <v>13476</v>
      </c>
      <c r="D85" s="0" t="s">
        <v>91</v>
      </c>
      <c r="E85" s="14"/>
      <c r="F85" s="0" t="s">
        <v>91</v>
      </c>
      <c r="G85" s="0" t="str">
        <f aca="false">IF(H85&gt;0,"\textcolor{red}{+","\textcolor{OliveGreen}{")</f>
        <v>\textcolor{OliveGreen}{</v>
      </c>
      <c r="H85" s="8" t="n">
        <f aca="false">(E85-C85)/C85</f>
        <v>-1</v>
      </c>
      <c r="P85" s="0" t="str">
        <f aca="false">P84</f>
        <v>}\\</v>
      </c>
    </row>
    <row r="86" customFormat="false" ht="15" hidden="false" customHeight="false" outlineLevel="0" collapsed="false">
      <c r="A86" s="0" t="s">
        <v>112</v>
      </c>
      <c r="B86" s="0" t="s">
        <v>91</v>
      </c>
      <c r="C86" s="7" t="n">
        <v>2</v>
      </c>
      <c r="D86" s="0" t="s">
        <v>91</v>
      </c>
      <c r="E86" s="14"/>
      <c r="F86" s="0" t="s">
        <v>91</v>
      </c>
      <c r="G86" s="0" t="str">
        <f aca="false">IF(H86&gt;0,"\textcolor{red}{+","\textcolor{OliveGreen}{")</f>
        <v>\textcolor{OliveGreen}{</v>
      </c>
      <c r="H86" s="8" t="n">
        <f aca="false">(E86-C86)/C86</f>
        <v>-1</v>
      </c>
      <c r="P86" s="0" t="str">
        <f aca="false">P85</f>
        <v>}\\</v>
      </c>
    </row>
    <row r="87" customFormat="false" ht="15" hidden="false" customHeight="false" outlineLevel="0" collapsed="false">
      <c r="A87" s="0" t="s">
        <v>113</v>
      </c>
      <c r="B87" s="0" t="s">
        <v>91</v>
      </c>
      <c r="C87" s="7" t="n">
        <v>249</v>
      </c>
      <c r="D87" s="0" t="s">
        <v>91</v>
      </c>
      <c r="E87" s="14"/>
      <c r="F87" s="0" t="s">
        <v>91</v>
      </c>
      <c r="G87" s="0" t="str">
        <f aca="false">IF(H87&gt;0,"\textcolor{OliveGreen}{+","\textcolor{red}{")</f>
        <v>\textcolor{red}{</v>
      </c>
      <c r="H87" s="8" t="n">
        <f aca="false">(E87-C87)/C87</f>
        <v>-1</v>
      </c>
      <c r="P87" s="0" t="str">
        <f aca="false">P86</f>
        <v>}\\</v>
      </c>
    </row>
    <row r="88" customFormat="false" ht="15" hidden="false" customHeight="false" outlineLevel="0" collapsed="false">
      <c r="A88" s="0" t="s">
        <v>104</v>
      </c>
      <c r="B88" s="0" t="s">
        <v>91</v>
      </c>
      <c r="C88" s="15" t="n">
        <f aca="false">C82/C$87</f>
        <v>17.0602409638554</v>
      </c>
      <c r="D88" s="0" t="s">
        <v>91</v>
      </c>
      <c r="E88" s="16" t="n">
        <v>1</v>
      </c>
      <c r="F88" s="0" t="s">
        <v>91</v>
      </c>
      <c r="G88" s="0" t="str">
        <f aca="false">IF(H88&gt;0,"\textcolor{red}{+","\textcolor{OliveGreen}{")</f>
        <v>\textcolor{OliveGreen}{</v>
      </c>
      <c r="H88" s="8" t="n">
        <f aca="false">(E88-C88)/C88</f>
        <v>-0.94138418079096</v>
      </c>
      <c r="P88" s="0" t="str">
        <f aca="false">P85</f>
        <v>}\\</v>
      </c>
    </row>
    <row r="89" customFormat="false" ht="15" hidden="false" customHeight="false" outlineLevel="0" collapsed="false">
      <c r="A89" s="0" t="s">
        <v>105</v>
      </c>
      <c r="B89" s="0" t="s">
        <v>91</v>
      </c>
      <c r="C89" s="15" t="n">
        <f aca="false">C83/C$87</f>
        <v>23.4497991967871</v>
      </c>
      <c r="D89" s="0" t="s">
        <v>91</v>
      </c>
      <c r="E89" s="16" t="n">
        <v>1</v>
      </c>
      <c r="F89" s="0" t="s">
        <v>91</v>
      </c>
      <c r="G89" s="0" t="str">
        <f aca="false">IF(H89&gt;0,"\textcolor{red}{+","\textcolor{OliveGreen}{")</f>
        <v>\textcolor{OliveGreen}{</v>
      </c>
      <c r="H89" s="8" t="n">
        <f aca="false">(E89-C89)/C89</f>
        <v>-0.957355711594451</v>
      </c>
      <c r="P89" s="0" t="str">
        <f aca="false">P88</f>
        <v>}\\</v>
      </c>
    </row>
    <row r="90" customFormat="false" ht="15" hidden="false" customHeight="false" outlineLevel="0" collapsed="false">
      <c r="A90" s="0" t="s">
        <v>106</v>
      </c>
      <c r="B90" s="0" t="s">
        <v>91</v>
      </c>
      <c r="C90" s="7" t="n">
        <f aca="false">Results!B20</f>
        <v>48029</v>
      </c>
      <c r="D90" s="0" t="s">
        <v>91</v>
      </c>
      <c r="E90" s="7" t="n">
        <f aca="false">Results!B28</f>
        <v>43014</v>
      </c>
      <c r="F90" s="0" t="s">
        <v>91</v>
      </c>
      <c r="G90" s="0" t="str">
        <f aca="false">IF(H90&gt;0,"\textcolor{red}{+","\textcolor{OliveGreen}{")</f>
        <v>\textcolor{OliveGreen}{</v>
      </c>
      <c r="H90" s="8" t="n">
        <f aca="false">(E90-C90)/C90</f>
        <v>-0.104416081950488</v>
      </c>
      <c r="P90" s="0" t="str">
        <f aca="false">P89</f>
        <v>}\\</v>
      </c>
    </row>
    <row r="91" customFormat="false" ht="15" hidden="false" customHeight="false" outlineLevel="0" collapsed="false">
      <c r="A91" s="0" t="s">
        <v>107</v>
      </c>
      <c r="B91" s="0" t="s">
        <v>91</v>
      </c>
      <c r="C91" s="7" t="n">
        <f aca="false">Results!E20</f>
        <v>108844</v>
      </c>
      <c r="D91" s="0" t="s">
        <v>91</v>
      </c>
      <c r="E91" s="7" t="n">
        <f aca="false">Results!E28</f>
        <v>96859</v>
      </c>
      <c r="F91" s="0" t="s">
        <v>91</v>
      </c>
      <c r="G91" s="0" t="str">
        <f aca="false">IF(H91&gt;0,"\textcolor{red}{+","\textcolor{OliveGreen}{")</f>
        <v>\textcolor{OliveGreen}{</v>
      </c>
      <c r="H91" s="8" t="n">
        <f aca="false">(E91-C91)/C91</f>
        <v>-0.110111719525192</v>
      </c>
      <c r="P91" s="0" t="str">
        <f aca="false">P90</f>
        <v>}\\</v>
      </c>
    </row>
    <row r="92" customFormat="false" ht="15" hidden="false" customHeight="false" outlineLevel="0" collapsed="false">
      <c r="A92" s="0" t="s">
        <v>108</v>
      </c>
      <c r="B92" s="0" t="s">
        <v>91</v>
      </c>
      <c r="C92" s="7" t="n">
        <f aca="false">Results!D20</f>
        <v>6</v>
      </c>
      <c r="D92" s="0" t="s">
        <v>91</v>
      </c>
      <c r="E92" s="7" t="n">
        <f aca="false">Results!D28</f>
        <v>6</v>
      </c>
      <c r="F92" s="0" t="s">
        <v>91</v>
      </c>
      <c r="G92" s="0" t="str">
        <f aca="false">IF(H92&gt;0,"\textcolor{red}{+","\textcolor{OliveGreen}{")</f>
        <v>\textcolor{OliveGreen}{</v>
      </c>
      <c r="H92" s="8" t="n">
        <f aca="false">(E92-C92)/C92</f>
        <v>0</v>
      </c>
      <c r="P92" s="0" t="str">
        <f aca="false">P91</f>
        <v>}\\</v>
      </c>
    </row>
    <row r="93" customFormat="false" ht="15" hidden="false" customHeight="false" outlineLevel="0" collapsed="false">
      <c r="A93" s="0" t="s">
        <v>109</v>
      </c>
      <c r="B93" s="0" t="s">
        <v>91</v>
      </c>
      <c r="C93" s="7" t="n">
        <f aca="false">Results!F20</f>
        <v>194.7</v>
      </c>
      <c r="D93" s="0" t="s">
        <v>91</v>
      </c>
      <c r="E93" s="7" t="n">
        <f aca="false">Results!F28</f>
        <v>189.83</v>
      </c>
      <c r="F93" s="0" t="s">
        <v>91</v>
      </c>
      <c r="G93" s="0" t="str">
        <f aca="false">IF(H93&gt;0,"\textcolor{OliveGreen}{+","\textcolor{red}{")</f>
        <v>\textcolor{red}{</v>
      </c>
      <c r="H93" s="8" t="n">
        <f aca="false">(E93-C93)/C93</f>
        <v>-0.0250128402670774</v>
      </c>
      <c r="P93" s="0" t="str">
        <f aca="false">P92</f>
        <v>}\\</v>
      </c>
    </row>
    <row r="94" customFormat="false" ht="15" hidden="false" customHeight="false" outlineLevel="0" collapsed="false">
      <c r="A94" s="0" t="s">
        <v>104</v>
      </c>
      <c r="B94" s="0" t="s">
        <v>91</v>
      </c>
      <c r="C94" s="15" t="n">
        <f aca="false">C82/(C$93)</f>
        <v>21.8181818181818</v>
      </c>
      <c r="D94" s="0" t="s">
        <v>91</v>
      </c>
      <c r="E94" s="15" t="n">
        <f aca="false">E82/E$93</f>
        <v>19.227730074277</v>
      </c>
      <c r="F94" s="0" t="s">
        <v>91</v>
      </c>
      <c r="G94" s="0" t="str">
        <f aca="false">IF(H94&gt;0,"\textcolor{red}{+","\textcolor{OliveGreen}{")</f>
        <v>\textcolor{OliveGreen}{</v>
      </c>
      <c r="H94" s="8" t="n">
        <f aca="false">(E94-C94)/C94</f>
        <v>-0.118729038262305</v>
      </c>
      <c r="P94" s="0" t="str">
        <f aca="false">P91</f>
        <v>}\\</v>
      </c>
    </row>
    <row r="95" customFormat="false" ht="15" hidden="false" customHeight="false" outlineLevel="0" collapsed="false">
      <c r="A95" s="0" t="s">
        <v>105</v>
      </c>
      <c r="B95" s="0" t="s">
        <v>91</v>
      </c>
      <c r="C95" s="15" t="n">
        <f aca="false">C83/(C$93)</f>
        <v>29.989727786338</v>
      </c>
      <c r="D95" s="0" t="s">
        <v>91</v>
      </c>
      <c r="E95" s="15" t="n">
        <f aca="false">E83/E$93</f>
        <v>26.7397144813781</v>
      </c>
      <c r="F95" s="0" t="s">
        <v>91</v>
      </c>
      <c r="G95" s="0" t="str">
        <f aca="false">IF(H95&gt;0,"\textcolor{red}{+","\textcolor{OliveGreen}{")</f>
        <v>\textcolor{OliveGreen}{</v>
      </c>
      <c r="H95" s="8" t="n">
        <f aca="false">(E95-C95)/C95</f>
        <v>-0.108370883794432</v>
      </c>
      <c r="P95" s="0" t="str">
        <f aca="false">P94</f>
        <v>}\\</v>
      </c>
    </row>
    <row r="96" s="12" customFormat="true" ht="15" hidden="false" customHeight="false" outlineLevel="0" collapsed="false">
      <c r="A96" s="9" t="s">
        <v>90</v>
      </c>
      <c r="B96" s="9" t="s">
        <v>91</v>
      </c>
      <c r="C96" s="10" t="str">
        <f aca="false">Cycle_estimation!A27</f>
        <v>5PKE_0d</v>
      </c>
      <c r="D96" s="9" t="s">
        <v>91</v>
      </c>
      <c r="E96" s="10" t="str">
        <f aca="false">Cycle_estimation_with_XEf!A27</f>
        <v>5PKE_5d</v>
      </c>
      <c r="F96" s="9" t="s">
        <v>91</v>
      </c>
      <c r="H96" s="11"/>
      <c r="I96" s="11"/>
      <c r="J96" s="11"/>
      <c r="K96" s="11"/>
      <c r="L96" s="11"/>
      <c r="M96" s="11"/>
      <c r="N96" s="11"/>
      <c r="O96" s="11"/>
      <c r="P96" s="9" t="str">
        <f aca="false">P87</f>
        <v>}\\</v>
      </c>
    </row>
    <row r="97" customFormat="false" ht="15" hidden="false" customHeight="false" outlineLevel="0" collapsed="false">
      <c r="A97" s="13" t="s">
        <v>93</v>
      </c>
      <c r="B97" s="0" t="s">
        <v>91</v>
      </c>
      <c r="C97" s="7" t="n">
        <v>1170</v>
      </c>
      <c r="D97" s="0" t="s">
        <v>91</v>
      </c>
      <c r="E97" s="7" t="n">
        <v>946</v>
      </c>
      <c r="F97" s="0" t="s">
        <v>91</v>
      </c>
      <c r="G97" s="0" t="str">
        <f aca="false">IF(H97&gt;0,"\textcolor{red}{+","\textcolor{OliveGreen}{")</f>
        <v>\textcolor{OliveGreen}{</v>
      </c>
      <c r="H97" s="8" t="n">
        <f aca="false">(E97-C97)/C97</f>
        <v>-0.191452991452991</v>
      </c>
      <c r="P97" s="0" t="s">
        <v>94</v>
      </c>
    </row>
    <row r="98" customFormat="false" ht="15" hidden="false" customHeight="false" outlineLevel="0" collapsed="false">
      <c r="A98" s="13" t="s">
        <v>95</v>
      </c>
      <c r="B98" s="0" t="s">
        <v>91</v>
      </c>
      <c r="C98" s="7" t="n">
        <v>1349</v>
      </c>
      <c r="D98" s="0" t="s">
        <v>91</v>
      </c>
      <c r="E98" s="7" t="n">
        <v>978</v>
      </c>
      <c r="F98" s="0" t="s">
        <v>91</v>
      </c>
      <c r="G98" s="0" t="str">
        <f aca="false">IF(H98&gt;0,"\textcolor{red}{+","\textcolor{OliveGreen}{")</f>
        <v>\textcolor{OliveGreen}{</v>
      </c>
      <c r="H98" s="8" t="n">
        <f aca="false">(E98-C98)/C98</f>
        <v>-0.275018532246108</v>
      </c>
      <c r="P98" s="0" t="s">
        <v>94</v>
      </c>
    </row>
    <row r="99" customFormat="false" ht="15" hidden="false" customHeight="false" outlineLevel="0" collapsed="false">
      <c r="A99" s="13" t="s">
        <v>96</v>
      </c>
      <c r="B99" s="0" t="s">
        <v>91</v>
      </c>
      <c r="C99" s="7" t="n">
        <v>1413</v>
      </c>
      <c r="D99" s="0" t="s">
        <v>91</v>
      </c>
      <c r="E99" s="7" t="n">
        <v>1042</v>
      </c>
      <c r="F99" s="0" t="s">
        <v>91</v>
      </c>
      <c r="G99" s="0" t="str">
        <f aca="false">IF(H99&gt;0,"\textcolor{red}{+","\textcolor{OliveGreen}{")</f>
        <v>\textcolor{OliveGreen}{</v>
      </c>
      <c r="H99" s="8" t="n">
        <f aca="false">(E99-C99)/C99</f>
        <v>-0.262561924982307</v>
      </c>
      <c r="P99" s="0" t="s">
        <v>94</v>
      </c>
    </row>
    <row r="100" customFormat="false" ht="15" hidden="false" customHeight="false" outlineLevel="0" collapsed="false">
      <c r="A100" s="13" t="s">
        <v>97</v>
      </c>
      <c r="B100" s="0" t="s">
        <v>91</v>
      </c>
      <c r="C100" s="7" t="n">
        <v>1525</v>
      </c>
      <c r="D100" s="0" t="s">
        <v>91</v>
      </c>
      <c r="E100" s="7" t="n">
        <v>1301</v>
      </c>
      <c r="F100" s="0" t="s">
        <v>91</v>
      </c>
      <c r="G100" s="0" t="str">
        <f aca="false">IF(H100&gt;0,"\textcolor{red}{+","\textcolor{OliveGreen}{")</f>
        <v>\textcolor{OliveGreen}{</v>
      </c>
      <c r="H100" s="8" t="n">
        <f aca="false">(E100-C100)/C100</f>
        <v>-0.146885245901639</v>
      </c>
      <c r="P100" s="0" t="s">
        <v>94</v>
      </c>
    </row>
    <row r="101" customFormat="false" ht="15" hidden="false" customHeight="false" outlineLevel="0" collapsed="false">
      <c r="A101" s="0" t="s">
        <v>98</v>
      </c>
      <c r="B101" s="0" t="s">
        <v>91</v>
      </c>
      <c r="C101" s="7" t="n">
        <f aca="false">Cycle_estimation!B27</f>
        <v>5836</v>
      </c>
      <c r="D101" s="0" t="s">
        <v>91</v>
      </c>
      <c r="E101" s="7" t="n">
        <f aca="false">Cycle_estimation_with_XEf!B27</f>
        <v>4509</v>
      </c>
      <c r="F101" s="0" t="s">
        <v>91</v>
      </c>
      <c r="G101" s="0" t="str">
        <f aca="false">IF(H101&gt;0,"\textcolor{red}{+","\textcolor{OliveGreen}{")</f>
        <v>\textcolor{OliveGreen}{</v>
      </c>
      <c r="H101" s="8" t="n">
        <f aca="false">(E101-C101)/C101</f>
        <v>-0.227381768334476</v>
      </c>
      <c r="P101" s="0" t="str">
        <f aca="false">P96</f>
        <v>}\\</v>
      </c>
    </row>
    <row r="102" customFormat="false" ht="15" hidden="false" customHeight="false" outlineLevel="0" collapsed="false">
      <c r="A102" s="0" t="s">
        <v>99</v>
      </c>
      <c r="B102" s="0" t="s">
        <v>91</v>
      </c>
      <c r="C102" s="7" t="n">
        <f aca="false">Cycle_estimation!C27</f>
        <v>7999</v>
      </c>
      <c r="D102" s="0" t="s">
        <v>91</v>
      </c>
      <c r="E102" s="7" t="n">
        <f aca="false">Cycle_estimation_with_XEf!C27</f>
        <v>6301</v>
      </c>
      <c r="F102" s="0" t="s">
        <v>91</v>
      </c>
      <c r="G102" s="0" t="str">
        <f aca="false">IF(H102&gt;0,"\textcolor{red}{+","\textcolor{OliveGreen}{")</f>
        <v>\textcolor{OliveGreen}{</v>
      </c>
      <c r="H102" s="8" t="n">
        <f aca="false">(E102-C102)/C102</f>
        <v>-0.212276534566821</v>
      </c>
      <c r="P102" s="0" t="str">
        <f aca="false">P101</f>
        <v>}\\</v>
      </c>
    </row>
    <row r="103" customFormat="false" ht="15" hidden="false" customHeight="false" outlineLevel="0" collapsed="false">
      <c r="A103" s="0" t="s">
        <v>110</v>
      </c>
      <c r="B103" s="0" t="s">
        <v>91</v>
      </c>
      <c r="C103" s="7" t="n">
        <v>99315</v>
      </c>
      <c r="D103" s="0" t="s">
        <v>91</v>
      </c>
      <c r="E103" s="14"/>
      <c r="F103" s="0" t="s">
        <v>91</v>
      </c>
      <c r="G103" s="0" t="str">
        <f aca="false">IF(H103&gt;0,"\textcolor{red}{+","\textcolor{OliveGreen}{")</f>
        <v>\textcolor{OliveGreen}{</v>
      </c>
      <c r="H103" s="8" t="n">
        <f aca="false">(E103-C103)/C103</f>
        <v>-1</v>
      </c>
      <c r="P103" s="0" t="str">
        <f aca="false">P102</f>
        <v>}\\</v>
      </c>
    </row>
    <row r="104" customFormat="false" ht="15" hidden="false" customHeight="false" outlineLevel="0" collapsed="false">
      <c r="A104" s="0" t="s">
        <v>111</v>
      </c>
      <c r="B104" s="0" t="s">
        <v>91</v>
      </c>
      <c r="C104" s="7" t="n">
        <v>17676</v>
      </c>
      <c r="D104" s="0" t="s">
        <v>91</v>
      </c>
      <c r="E104" s="14"/>
      <c r="F104" s="0" t="s">
        <v>91</v>
      </c>
      <c r="G104" s="0" t="str">
        <f aca="false">IF(H104&gt;0,"\textcolor{red}{+","\textcolor{OliveGreen}{")</f>
        <v>\textcolor{OliveGreen}{</v>
      </c>
      <c r="H104" s="8" t="n">
        <f aca="false">(E104-C104)/C104</f>
        <v>-1</v>
      </c>
      <c r="P104" s="0" t="str">
        <f aca="false">P103</f>
        <v>}\\</v>
      </c>
    </row>
    <row r="105" customFormat="false" ht="15" hidden="false" customHeight="false" outlineLevel="0" collapsed="false">
      <c r="A105" s="0" t="s">
        <v>112</v>
      </c>
      <c r="B105" s="0" t="s">
        <v>91</v>
      </c>
      <c r="C105" s="7" t="n">
        <v>2</v>
      </c>
      <c r="D105" s="0" t="s">
        <v>91</v>
      </c>
      <c r="E105" s="14"/>
      <c r="F105" s="0" t="s">
        <v>91</v>
      </c>
      <c r="G105" s="0" t="str">
        <f aca="false">IF(H105&gt;0,"\textcolor{red}{+","\textcolor{OliveGreen}{")</f>
        <v>\textcolor{OliveGreen}{</v>
      </c>
      <c r="H105" s="8" t="n">
        <f aca="false">(E105-C105)/C105</f>
        <v>-1</v>
      </c>
      <c r="P105" s="0" t="str">
        <f aca="false">P104</f>
        <v>}\\</v>
      </c>
    </row>
    <row r="106" customFormat="false" ht="15" hidden="false" customHeight="false" outlineLevel="0" collapsed="false">
      <c r="A106" s="0" t="s">
        <v>113</v>
      </c>
      <c r="B106" s="0" t="s">
        <v>91</v>
      </c>
      <c r="C106" s="7" t="n">
        <v>240</v>
      </c>
      <c r="D106" s="0" t="s">
        <v>91</v>
      </c>
      <c r="E106" s="14"/>
      <c r="F106" s="0" t="s">
        <v>91</v>
      </c>
      <c r="G106" s="0" t="str">
        <f aca="false">IF(H106&gt;0,"\textcolor{OliveGreen}{+","\textcolor{red}{")</f>
        <v>\textcolor{red}{</v>
      </c>
      <c r="H106" s="8" t="n">
        <f aca="false">(E106-C106)/C106</f>
        <v>-1</v>
      </c>
      <c r="P106" s="0" t="str">
        <f aca="false">P105</f>
        <v>}\\</v>
      </c>
    </row>
    <row r="107" customFormat="false" ht="15" hidden="false" customHeight="false" outlineLevel="0" collapsed="false">
      <c r="A107" s="0" t="s">
        <v>104</v>
      </c>
      <c r="B107" s="0" t="s">
        <v>91</v>
      </c>
      <c r="C107" s="15" t="n">
        <f aca="false">C101/C$106</f>
        <v>24.3166666666667</v>
      </c>
      <c r="D107" s="0" t="s">
        <v>91</v>
      </c>
      <c r="E107" s="16" t="n">
        <v>1</v>
      </c>
      <c r="F107" s="0" t="s">
        <v>91</v>
      </c>
      <c r="G107" s="0" t="str">
        <f aca="false">IF(H107&gt;0,"\textcolor{red}{+","\textcolor{OliveGreen}{")</f>
        <v>\textcolor{OliveGreen}{</v>
      </c>
      <c r="H107" s="8" t="n">
        <f aca="false">(E107-C107)/C107</f>
        <v>-0.958875942426319</v>
      </c>
      <c r="P107" s="0" t="str">
        <f aca="false">P104</f>
        <v>}\\</v>
      </c>
    </row>
    <row r="108" customFormat="false" ht="15" hidden="false" customHeight="false" outlineLevel="0" collapsed="false">
      <c r="A108" s="0" t="s">
        <v>105</v>
      </c>
      <c r="B108" s="0" t="s">
        <v>91</v>
      </c>
      <c r="C108" s="15" t="n">
        <f aca="false">C102/C$106</f>
        <v>33.3291666666667</v>
      </c>
      <c r="D108" s="0" t="s">
        <v>91</v>
      </c>
      <c r="E108" s="16" t="n">
        <v>1</v>
      </c>
      <c r="F108" s="0" t="s">
        <v>91</v>
      </c>
      <c r="G108" s="0" t="str">
        <f aca="false">IF(H108&gt;0,"\textcolor{red}{+","\textcolor{OliveGreen}{")</f>
        <v>\textcolor{OliveGreen}{</v>
      </c>
      <c r="H108" s="8" t="n">
        <f aca="false">(E108-C108)/C108</f>
        <v>-0.969996249531191</v>
      </c>
      <c r="P108" s="0" t="str">
        <f aca="false">P107</f>
        <v>}\\</v>
      </c>
    </row>
    <row r="109" customFormat="false" ht="15" hidden="false" customHeight="false" outlineLevel="0" collapsed="false">
      <c r="A109" s="0" t="s">
        <v>106</v>
      </c>
      <c r="B109" s="0" t="s">
        <v>91</v>
      </c>
      <c r="C109" s="7" t="n">
        <f aca="false">Results!B21</f>
        <v>69727</v>
      </c>
      <c r="D109" s="0" t="s">
        <v>91</v>
      </c>
      <c r="E109" s="7" t="n">
        <f aca="false">Results!B29</f>
        <v>50373</v>
      </c>
      <c r="F109" s="0" t="s">
        <v>91</v>
      </c>
      <c r="G109" s="0" t="str">
        <f aca="false">IF(H109&gt;0,"\textcolor{red}{+","\textcolor{OliveGreen}{")</f>
        <v>\textcolor{OliveGreen}{</v>
      </c>
      <c r="H109" s="8" t="n">
        <f aca="false">(E109-C109)/C109</f>
        <v>-0.277568230384213</v>
      </c>
      <c r="P109" s="0" t="str">
        <f aca="false">P108</f>
        <v>}\\</v>
      </c>
    </row>
    <row r="110" customFormat="false" ht="15" hidden="false" customHeight="false" outlineLevel="0" collapsed="false">
      <c r="A110" s="0" t="s">
        <v>107</v>
      </c>
      <c r="B110" s="0" t="s">
        <v>91</v>
      </c>
      <c r="C110" s="7" t="n">
        <f aca="false">Results!E21</f>
        <v>157660</v>
      </c>
      <c r="D110" s="0" t="s">
        <v>91</v>
      </c>
      <c r="E110" s="7" t="n">
        <f aca="false">Results!E29</f>
        <v>112311</v>
      </c>
      <c r="F110" s="0" t="s">
        <v>91</v>
      </c>
      <c r="G110" s="0" t="str">
        <f aca="false">IF(H110&gt;0,"\textcolor{red}{+","\textcolor{OliveGreen}{")</f>
        <v>\textcolor{OliveGreen}{</v>
      </c>
      <c r="H110" s="8" t="n">
        <f aca="false">(E110-C110)/C110</f>
        <v>-0.287637955093239</v>
      </c>
      <c r="P110" s="0" t="str">
        <f aca="false">P109</f>
        <v>}\\</v>
      </c>
    </row>
    <row r="111" customFormat="false" ht="15" hidden="false" customHeight="false" outlineLevel="0" collapsed="false">
      <c r="A111" s="0" t="s">
        <v>108</v>
      </c>
      <c r="B111" s="0" t="s">
        <v>91</v>
      </c>
      <c r="C111" s="7" t="n">
        <f aca="false">Results!D21</f>
        <v>6</v>
      </c>
      <c r="D111" s="0" t="s">
        <v>91</v>
      </c>
      <c r="E111" s="7" t="n">
        <f aca="false">Results!D29</f>
        <v>6</v>
      </c>
      <c r="F111" s="0" t="s">
        <v>91</v>
      </c>
      <c r="G111" s="0" t="str">
        <f aca="false">IF(H111&gt;0,"\textcolor{red}{+","\textcolor{OliveGreen}{")</f>
        <v>\textcolor{OliveGreen}{</v>
      </c>
      <c r="H111" s="8" t="n">
        <f aca="false">(E111-C111)/C111</f>
        <v>0</v>
      </c>
      <c r="P111" s="0" t="str">
        <f aca="false">P110</f>
        <v>}\\</v>
      </c>
    </row>
    <row r="112" customFormat="false" ht="15" hidden="false" customHeight="false" outlineLevel="0" collapsed="false">
      <c r="A112" s="0" t="s">
        <v>109</v>
      </c>
      <c r="B112" s="0" t="s">
        <v>91</v>
      </c>
      <c r="C112" s="7" t="n">
        <f aca="false">Results!F21</f>
        <v>187.55</v>
      </c>
      <c r="D112" s="0" t="s">
        <v>91</v>
      </c>
      <c r="E112" s="7" t="n">
        <f aca="false">Results!F29</f>
        <v>197.23</v>
      </c>
      <c r="F112" s="0" t="s">
        <v>91</v>
      </c>
      <c r="G112" s="0" t="str">
        <f aca="false">IF(H112&gt;0,"\textcolor{OliveGreen}{+","\textcolor{red}{")</f>
        <v>\textcolor{OliveGreen}{+</v>
      </c>
      <c r="H112" s="8" t="n">
        <f aca="false">(E112-C112)/C112</f>
        <v>0.0516129032258063</v>
      </c>
      <c r="P112" s="0" t="str">
        <f aca="false">P111</f>
        <v>}\\</v>
      </c>
    </row>
    <row r="113" customFormat="false" ht="15" hidden="false" customHeight="false" outlineLevel="0" collapsed="false">
      <c r="A113" s="0" t="s">
        <v>104</v>
      </c>
      <c r="B113" s="0" t="s">
        <v>91</v>
      </c>
      <c r="C113" s="15" t="n">
        <f aca="false">C101/(C$112)</f>
        <v>31.1170354572114</v>
      </c>
      <c r="D113" s="0" t="s">
        <v>91</v>
      </c>
      <c r="E113" s="15" t="n">
        <f aca="false">E101/E$112</f>
        <v>22.8616336257162</v>
      </c>
      <c r="F113" s="0" t="s">
        <v>91</v>
      </c>
      <c r="G113" s="0" t="str">
        <f aca="false">IF(H113&gt;0,"\textcolor{red}{+","\textcolor{OliveGreen}{")</f>
        <v>\textcolor{OliveGreen}{</v>
      </c>
      <c r="H113" s="8" t="n">
        <f aca="false">(E113-C113)/C113</f>
        <v>-0.265301681545053</v>
      </c>
      <c r="P113" s="0" t="str">
        <f aca="false">P110</f>
        <v>}\\</v>
      </c>
    </row>
    <row r="114" customFormat="false" ht="15" hidden="false" customHeight="false" outlineLevel="0" collapsed="false">
      <c r="A114" s="0" t="s">
        <v>105</v>
      </c>
      <c r="B114" s="0" t="s">
        <v>91</v>
      </c>
      <c r="C114" s="15" t="n">
        <f aca="false">C102/(C$112)</f>
        <v>42.6499600106638</v>
      </c>
      <c r="D114" s="0" t="s">
        <v>91</v>
      </c>
      <c r="E114" s="15" t="n">
        <f aca="false">E102/E$112</f>
        <v>31.9474724940425</v>
      </c>
      <c r="F114" s="0" t="s">
        <v>91</v>
      </c>
      <c r="G114" s="0" t="str">
        <f aca="false">IF(H114&gt;0,"\textcolor{red}{+","\textcolor{OliveGreen}{")</f>
        <v>\textcolor{OliveGreen}{</v>
      </c>
      <c r="H114" s="8" t="n">
        <f aca="false">(E114-C114)/C114</f>
        <v>-0.250937808943909</v>
      </c>
      <c r="P114" s="0" t="str">
        <f aca="false">P113</f>
        <v>}\\</v>
      </c>
    </row>
  </sheetData>
  <hyperlinks>
    <hyperlink ref="O1" r:id="rId1" display="\\"/>
    <hyperlink ref="O20" r:id="rId2" display="\\"/>
    <hyperlink ref="O39" r:id="rId3" display="\\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24" colorId="64" zoomScale="120" zoomScaleNormal="120" zoomScalePageLayoutView="100" workbookViewId="0">
      <selection pane="topLeft" activeCell="A24" activeCellId="1" sqref="S90:S101 A24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8.57"/>
    <col collapsed="false" customWidth="true" hidden="false" outlineLevel="0" max="3" min="3" style="7" width="11.57"/>
    <col collapsed="false" customWidth="true" hidden="false" outlineLevel="0" max="4" min="4" style="0" width="8.57"/>
    <col collapsed="false" customWidth="true" hidden="false" outlineLevel="0" max="5" min="5" style="7" width="11.57"/>
    <col collapsed="false" customWidth="true" hidden="false" outlineLevel="0" max="6" min="6" style="0" width="8.57"/>
    <col collapsed="false" customWidth="true" hidden="false" outlineLevel="0" max="7" min="7" style="0" width="16"/>
    <col collapsed="false" customWidth="true" hidden="false" outlineLevel="0" max="8" min="8" style="19" width="11.57"/>
    <col collapsed="false" customWidth="true" hidden="false" outlineLevel="0" max="1025" min="9" style="0" width="8.57"/>
  </cols>
  <sheetData>
    <row r="1" s="12" customFormat="true" ht="15" hidden="false" customHeight="false" outlineLevel="0" collapsed="false">
      <c r="A1" s="12" t="str">
        <f aca="false">Tex_table_comparison!A1</f>
        <v>Parameter set</v>
      </c>
      <c r="B1" s="12" t="str">
        <f aca="false">Tex_table_comparison!B1</f>
        <v>&amp;</v>
      </c>
      <c r="C1" s="10" t="str">
        <f aca="false">Tex_table_comparison!C1</f>
        <v>1KEM_0d</v>
      </c>
      <c r="D1" s="12" t="str">
        <f aca="false">Tex_table_comparison!D1</f>
        <v>&amp;</v>
      </c>
      <c r="E1" s="10" t="str">
        <f aca="false">Tex_table_comparison!E1</f>
        <v>1KEM_5d</v>
      </c>
      <c r="F1" s="12" t="str">
        <f aca="false">Tex_table_comparison!F1</f>
        <v>&amp;</v>
      </c>
      <c r="H1" s="20" t="str">
        <f aca="false">Tex_table_comparison!H1</f>
        <v>Ratio</v>
      </c>
    </row>
    <row r="2" customFormat="false" ht="15" hidden="false" customHeight="false" outlineLevel="0" collapsed="false">
      <c r="A2" s="0" t="str">
        <f aca="false">Tex_table_comparison!A2</f>
        <v>Poly degree*</v>
      </c>
      <c r="B2" s="0" t="str">
        <f aca="false">Tex_table_comparison!B2</f>
        <v>&amp;</v>
      </c>
      <c r="C2" s="7" t="n">
        <f aca="false">Tex_table_comparison!C2</f>
        <v>618</v>
      </c>
      <c r="D2" s="0" t="str">
        <f aca="false">Tex_table_comparison!D2</f>
        <v>&amp;</v>
      </c>
      <c r="E2" s="7" t="n">
        <f aca="false">Tex_table_comparison!E2</f>
        <v>490</v>
      </c>
      <c r="F2" s="0" t="str">
        <f aca="false">Tex_table_comparison!F2</f>
        <v>&amp;</v>
      </c>
      <c r="G2" s="0" t="str">
        <f aca="false">Tex_table_comparison!G2</f>
        <v>\textcolor{OliveGreen}{</v>
      </c>
      <c r="H2" s="19" t="n">
        <f aca="false">Tex_table_comparison!H2</f>
        <v>-0.207119741100324</v>
      </c>
      <c r="I2" s="0" t="str">
        <f aca="false">Tex_table_comparison!I2</f>
        <v>}\\</v>
      </c>
    </row>
    <row r="3" customFormat="false" ht="15" hidden="false" customHeight="false" outlineLevel="0" collapsed="false">
      <c r="A3" s="0" t="str">
        <f aca="false">Tex_table_comparison!A3</f>
        <v>PK size$^*$</v>
      </c>
      <c r="B3" s="0" t="str">
        <f aca="false">Tex_table_comparison!B3</f>
        <v>&amp;</v>
      </c>
      <c r="C3" s="7" t="n">
        <f aca="false">Tex_table_comparison!C3</f>
        <v>634</v>
      </c>
      <c r="D3" s="0" t="str">
        <f aca="false">Tex_table_comparison!D3</f>
        <v>&amp;</v>
      </c>
      <c r="E3" s="7" t="n">
        <f aca="false">Tex_table_comparison!E3</f>
        <v>445</v>
      </c>
      <c r="F3" s="0" t="str">
        <f aca="false">Tex_table_comparison!F3</f>
        <v>&amp;</v>
      </c>
      <c r="G3" s="0" t="str">
        <f aca="false">Tex_table_comparison!G3</f>
        <v>\textcolor{OliveGreen}{</v>
      </c>
      <c r="H3" s="19" t="n">
        <f aca="false">Tex_table_comparison!H3</f>
        <v>-0.298107255520505</v>
      </c>
      <c r="I3" s="0" t="str">
        <f aca="false">Tex_table_comparison!I3</f>
        <v>}\\</v>
      </c>
    </row>
    <row r="4" customFormat="false" ht="15" hidden="false" customHeight="false" outlineLevel="0" collapsed="false">
      <c r="A4" s="0" t="str">
        <f aca="false">Tex_table_comparison!A4</f>
        <v>SK size$^*$</v>
      </c>
      <c r="B4" s="0" t="str">
        <f aca="false">Tex_table_comparison!B4</f>
        <v>&amp;</v>
      </c>
      <c r="C4" s="7" t="n">
        <f aca="false">Tex_table_comparison!C4</f>
        <v>16</v>
      </c>
      <c r="D4" s="0" t="str">
        <f aca="false">Tex_table_comparison!D4</f>
        <v>&amp;</v>
      </c>
      <c r="E4" s="7" t="n">
        <f aca="false">Tex_table_comparison!E4</f>
        <v>16</v>
      </c>
      <c r="F4" s="0" t="str">
        <f aca="false">Tex_table_comparison!F4</f>
        <v>&amp;</v>
      </c>
      <c r="G4" s="0" t="str">
        <f aca="false">Tex_table_comparison!G4</f>
        <v>\textcolor{OliveGreen}{</v>
      </c>
      <c r="H4" s="19" t="n">
        <f aca="false">Tex_table_comparison!H4</f>
        <v>0</v>
      </c>
      <c r="I4" s="0" t="str">
        <f aca="false">Tex_table_comparison!I4</f>
        <v>}\\</v>
      </c>
    </row>
    <row r="5" customFormat="false" ht="15" hidden="false" customHeight="false" outlineLevel="0" collapsed="false">
      <c r="A5" s="0" t="str">
        <f aca="false">Tex_table_comparison!A5</f>
        <v>CT size$^*$</v>
      </c>
      <c r="B5" s="0" t="str">
        <f aca="false">Tex_table_comparison!B5</f>
        <v>&amp;</v>
      </c>
      <c r="C5" s="7" t="n">
        <f aca="false">Tex_table_comparison!C5</f>
        <v>682</v>
      </c>
      <c r="D5" s="0" t="str">
        <f aca="false">Tex_table_comparison!D5</f>
        <v>&amp;</v>
      </c>
      <c r="E5" s="7" t="n">
        <f aca="false">Tex_table_comparison!E5</f>
        <v>549</v>
      </c>
      <c r="F5" s="0" t="str">
        <f aca="false">Tex_table_comparison!F5</f>
        <v>&amp;</v>
      </c>
      <c r="G5" s="0" t="str">
        <f aca="false">Tex_table_comparison!G5</f>
        <v>\textcolor{OliveGreen}{</v>
      </c>
      <c r="H5" s="19" t="n">
        <f aca="false">Tex_table_comparison!H5</f>
        <v>-0.195014662756598</v>
      </c>
      <c r="I5" s="0" t="str">
        <f aca="false">Tex_table_comparison!I5</f>
        <v>}\\</v>
      </c>
    </row>
    <row r="6" customFormat="false" ht="15" hidden="false" customHeight="false" outlineLevel="0" collapsed="false">
      <c r="A6" s="0" t="str">
        <f aca="false">Tex_table_comparison!A6</f>
        <v>Enc latency$^{**}$</v>
      </c>
      <c r="B6" s="0" t="str">
        <f aca="false">Tex_table_comparison!B6</f>
        <v>&amp;</v>
      </c>
      <c r="C6" s="7" t="n">
        <f aca="false">Tex_table_comparison!C6</f>
        <v>2985</v>
      </c>
      <c r="D6" s="0" t="str">
        <f aca="false">Tex_table_comparison!D6</f>
        <v>&amp;</v>
      </c>
      <c r="E6" s="7" t="n">
        <f aca="false">Tex_table_comparison!E6</f>
        <v>2219</v>
      </c>
      <c r="F6" s="0" t="str">
        <f aca="false">Tex_table_comparison!F6</f>
        <v>&amp;</v>
      </c>
      <c r="G6" s="0" t="str">
        <f aca="false">Tex_table_comparison!G6</f>
        <v>\textcolor{OliveGreen}{</v>
      </c>
      <c r="H6" s="19" t="n">
        <f aca="false">Tex_table_comparison!H6</f>
        <v>-0.256616415410385</v>
      </c>
      <c r="I6" s="0" t="str">
        <f aca="false">Tex_table_comparison!I6</f>
        <v>}\\</v>
      </c>
    </row>
    <row r="7" customFormat="false" ht="15" hidden="false" customHeight="false" outlineLevel="0" collapsed="false">
      <c r="A7" s="0" t="str">
        <f aca="false">Tex_table_comparison!A7</f>
        <v>Dec latency$^{**}$</v>
      </c>
      <c r="B7" s="0" t="str">
        <f aca="false">Tex_table_comparison!B7</f>
        <v>&amp;</v>
      </c>
      <c r="C7" s="7" t="n">
        <f aca="false">Tex_table_comparison!C7</f>
        <v>1480</v>
      </c>
      <c r="D7" s="0" t="str">
        <f aca="false">Tex_table_comparison!D7</f>
        <v>&amp;</v>
      </c>
      <c r="E7" s="7" t="n">
        <f aca="false">Tex_table_comparison!E7</f>
        <v>1200</v>
      </c>
      <c r="F7" s="0" t="str">
        <f aca="false">Tex_table_comparison!F7</f>
        <v>&amp;</v>
      </c>
      <c r="G7" s="0" t="str">
        <f aca="false">Tex_table_comparison!G7</f>
        <v>\textcolor{OliveGreen}{</v>
      </c>
      <c r="H7" s="19" t="n">
        <f aca="false">Tex_table_comparison!H7</f>
        <v>-0.189189189189189</v>
      </c>
      <c r="I7" s="0" t="str">
        <f aca="false">Tex_table_comparison!I7</f>
        <v>}\\</v>
      </c>
      <c r="J7" s="0" t="s">
        <v>120</v>
      </c>
    </row>
    <row r="8" customFormat="false" ht="15" hidden="false" customHeight="false" outlineLevel="0" collapsed="false">
      <c r="A8" s="0" t="str">
        <f aca="false">Tex_table_comparison!A14</f>
        <v>Intel ALM’s</v>
      </c>
      <c r="B8" s="0" t="str">
        <f aca="false">Tex_table_comparison!B14</f>
        <v>&amp;</v>
      </c>
      <c r="C8" s="7" t="n">
        <f aca="false">Tex_table_comparison!C14</f>
        <v>33036</v>
      </c>
      <c r="D8" s="0" t="str">
        <f aca="false">Tex_table_comparison!D14</f>
        <v>&amp;</v>
      </c>
      <c r="E8" s="7" t="n">
        <f aca="false">Tex_table_comparison!E14</f>
        <v>24192</v>
      </c>
      <c r="F8" s="0" t="str">
        <f aca="false">Tex_table_comparison!F14</f>
        <v>&amp;</v>
      </c>
      <c r="G8" s="0" t="str">
        <f aca="false">Tex_table_comparison!G14</f>
        <v>\textcolor{OliveGreen}{</v>
      </c>
      <c r="H8" s="19" t="n">
        <f aca="false">Tex_table_comparison!H14</f>
        <v>-0.267707954958227</v>
      </c>
      <c r="I8" s="0" t="str">
        <f aca="false">Tex_table_comparison!I14</f>
        <v>}\\</v>
      </c>
    </row>
    <row r="9" customFormat="false" ht="15" hidden="false" customHeight="false" outlineLevel="0" collapsed="false">
      <c r="A9" s="0" t="str">
        <f aca="false">Tex_table_comparison!A15</f>
        <v>Intel Registers</v>
      </c>
      <c r="B9" s="0" t="str">
        <f aca="false">Tex_table_comparison!B15</f>
        <v>&amp;</v>
      </c>
      <c r="C9" s="7" t="n">
        <f aca="false">Tex_table_comparison!C15</f>
        <v>74321</v>
      </c>
      <c r="D9" s="0" t="str">
        <f aca="false">Tex_table_comparison!D15</f>
        <v>&amp;</v>
      </c>
      <c r="E9" s="7" t="n">
        <f aca="false">Tex_table_comparison!E15</f>
        <v>54985</v>
      </c>
      <c r="F9" s="0" t="str">
        <f aca="false">Tex_table_comparison!F15</f>
        <v>&amp;</v>
      </c>
      <c r="G9" s="0" t="str">
        <f aca="false">Tex_table_comparison!G15</f>
        <v>\textcolor{OliveGreen}{</v>
      </c>
      <c r="H9" s="19" t="n">
        <f aca="false">Tex_table_comparison!H15</f>
        <v>-0.260168727546723</v>
      </c>
      <c r="I9" s="0" t="str">
        <f aca="false">Tex_table_comparison!I15</f>
        <v>}\\</v>
      </c>
    </row>
    <row r="10" customFormat="false" ht="15" hidden="false" customHeight="false" outlineLevel="0" collapsed="false">
      <c r="A10" s="0" t="str">
        <f aca="false">Tex_table_comparison!A16</f>
        <v>Intel BRAM’s</v>
      </c>
      <c r="B10" s="0" t="str">
        <f aca="false">Tex_table_comparison!B16</f>
        <v>&amp;</v>
      </c>
      <c r="C10" s="7" t="n">
        <f aca="false">Tex_table_comparison!C16</f>
        <v>4</v>
      </c>
      <c r="D10" s="0" t="str">
        <f aca="false">Tex_table_comparison!D16</f>
        <v>&amp;</v>
      </c>
      <c r="E10" s="7" t="n">
        <f aca="false">Tex_table_comparison!E16</f>
        <v>4</v>
      </c>
      <c r="F10" s="0" t="str">
        <f aca="false">Tex_table_comparison!F16</f>
        <v>&amp;</v>
      </c>
      <c r="G10" s="0" t="str">
        <f aca="false">Tex_table_comparison!G16</f>
        <v>\textcolor{OliveGreen}{</v>
      </c>
      <c r="H10" s="19" t="n">
        <f aca="false">Tex_table_comparison!H16</f>
        <v>0</v>
      </c>
      <c r="I10" s="0" t="str">
        <f aca="false">Tex_table_comparison!I16</f>
        <v>}\\</v>
      </c>
    </row>
    <row r="11" customFormat="false" ht="15" hidden="false" customHeight="false" outlineLevel="0" collapsed="false">
      <c r="A11" s="0" t="str">
        <f aca="false">Tex_table_comparison!A17</f>
        <v>Intel Max. freq (MHz)</v>
      </c>
      <c r="B11" s="0" t="str">
        <f aca="false">Tex_table_comparison!B17</f>
        <v>&amp;</v>
      </c>
      <c r="C11" s="7" t="n">
        <f aca="false">Tex_table_comparison!C17</f>
        <v>192.42</v>
      </c>
      <c r="D11" s="0" t="str">
        <f aca="false">Tex_table_comparison!D17</f>
        <v>&amp;</v>
      </c>
      <c r="E11" s="7" t="n">
        <f aca="false">Tex_table_comparison!E17</f>
        <v>219.88</v>
      </c>
      <c r="F11" s="0" t="str">
        <f aca="false">Tex_table_comparison!F17</f>
        <v>&amp;</v>
      </c>
      <c r="G11" s="0" t="str">
        <f aca="false">Tex_table_comparison!G17</f>
        <v>\textcolor{OliveGreen}{+</v>
      </c>
      <c r="H11" s="19" t="n">
        <f aca="false">Tex_table_comparison!H17</f>
        <v>0.142708658143644</v>
      </c>
      <c r="I11" s="0" t="str">
        <f aca="false">Tex_table_comparison!I17</f>
        <v>}\\</v>
      </c>
    </row>
    <row r="12" customFormat="false" ht="15" hidden="false" customHeight="false" outlineLevel="0" collapsed="false">
      <c r="A12" s="0" t="str">
        <f aca="false">Tex_table_comparison!A18</f>
        <v>Enc time</v>
      </c>
      <c r="B12" s="0" t="str">
        <f aca="false">Tex_table_comparison!B18</f>
        <v>&amp;</v>
      </c>
      <c r="C12" s="8" t="n">
        <f aca="false">Tex_table_comparison!C18</f>
        <v>15.5129404427814</v>
      </c>
      <c r="D12" s="8" t="str">
        <f aca="false">Tex_table_comparison!D18</f>
        <v>&amp;</v>
      </c>
      <c r="E12" s="8" t="n">
        <f aca="false">Tex_table_comparison!E18</f>
        <v>10.0918682917955</v>
      </c>
      <c r="F12" s="0" t="str">
        <f aca="false">Tex_table_comparison!F18</f>
        <v>&amp;</v>
      </c>
      <c r="G12" s="0" t="str">
        <f aca="false">Tex_table_comparison!G18</f>
        <v>\textcolor{OliveGreen}{</v>
      </c>
      <c r="H12" s="19" t="n">
        <f aca="false">Tex_table_comparison!H18</f>
        <v>-0.349454841974106</v>
      </c>
      <c r="I12" s="0" t="str">
        <f aca="false">Tex_table_comparison!I18</f>
        <v>}\\</v>
      </c>
    </row>
    <row r="13" customFormat="false" ht="15" hidden="false" customHeight="false" outlineLevel="0" collapsed="false">
      <c r="A13" s="0" t="str">
        <f aca="false">Tex_table_comparison!A19</f>
        <v>Dec time</v>
      </c>
      <c r="B13" s="0" t="str">
        <f aca="false">Tex_table_comparison!B19</f>
        <v>&amp;</v>
      </c>
      <c r="C13" s="8" t="n">
        <f aca="false">Tex_table_comparison!C19</f>
        <v>7.69150815923501</v>
      </c>
      <c r="D13" s="8" t="str">
        <f aca="false">Tex_table_comparison!D19</f>
        <v>&amp;</v>
      </c>
      <c r="E13" s="8" t="n">
        <f aca="false">Tex_table_comparison!E19</f>
        <v>5.45752228488266</v>
      </c>
      <c r="F13" s="0" t="str">
        <f aca="false">Tex_table_comparison!F19</f>
        <v>&amp;</v>
      </c>
      <c r="G13" s="0" t="str">
        <f aca="false">Tex_table_comparison!G19</f>
        <v>\textcolor{OliveGreen}{</v>
      </c>
      <c r="H13" s="19" t="n">
        <f aca="false">Tex_table_comparison!H19</f>
        <v>-0.290448352664107</v>
      </c>
      <c r="I13" s="0" t="str">
        <f aca="false">Tex_table_comparison!I19</f>
        <v>}\\</v>
      </c>
    </row>
    <row r="14" s="12" customFormat="true" ht="15" hidden="false" customHeight="false" outlineLevel="0" collapsed="false">
      <c r="A14" s="12" t="str">
        <f aca="false">Tex_table_comparison!A20</f>
        <v>Parameter set</v>
      </c>
      <c r="B14" s="12" t="str">
        <f aca="false">Tex_table_comparison!B20</f>
        <v>&amp;</v>
      </c>
      <c r="C14" s="10" t="str">
        <f aca="false">Tex_table_comparison!C20</f>
        <v>3KEM_0d</v>
      </c>
      <c r="D14" s="12" t="str">
        <f aca="false">Tex_table_comparison!D20</f>
        <v>&amp;</v>
      </c>
      <c r="E14" s="10" t="str">
        <f aca="false">Tex_table_comparison!E20</f>
        <v>3KEM_5d</v>
      </c>
      <c r="F14" s="12" t="str">
        <f aca="false">Tex_table_comparison!F20</f>
        <v>&amp;</v>
      </c>
      <c r="H14" s="20" t="str">
        <f aca="false">Tex_table_comparison!H20</f>
        <v>Ratio</v>
      </c>
    </row>
    <row r="15" customFormat="false" ht="15" hidden="false" customHeight="false" outlineLevel="0" collapsed="false">
      <c r="A15" s="0" t="str">
        <f aca="false">Tex_table_comparison!A21</f>
        <v>Poly degree*</v>
      </c>
      <c r="B15" s="0" t="str">
        <f aca="false">Tex_table_comparison!B21</f>
        <v>&amp;</v>
      </c>
      <c r="C15" s="7" t="n">
        <f aca="false">Tex_table_comparison!C21</f>
        <v>786</v>
      </c>
      <c r="D15" s="0" t="str">
        <f aca="false">Tex_table_comparison!D21</f>
        <v>&amp;</v>
      </c>
      <c r="E15" s="7" t="n">
        <f aca="false">Tex_table_comparison!E21</f>
        <v>756</v>
      </c>
      <c r="F15" s="0" t="str">
        <f aca="false">Tex_table_comparison!F21</f>
        <v>&amp;</v>
      </c>
      <c r="G15" s="0" t="str">
        <f aca="false">Tex_table_comparison!G21</f>
        <v>\textcolor{OliveGreen}{</v>
      </c>
      <c r="H15" s="19" t="n">
        <f aca="false">Tex_table_comparison!H21</f>
        <v>-0.0381679389312977</v>
      </c>
      <c r="I15" s="0" t="str">
        <f aca="false">Tex_table_comparison!I21</f>
        <v>}\\</v>
      </c>
    </row>
    <row r="16" customFormat="false" ht="15" hidden="false" customHeight="false" outlineLevel="0" collapsed="false">
      <c r="A16" s="0" t="str">
        <f aca="false">Tex_table_comparison!A22</f>
        <v>PK size$^*$</v>
      </c>
      <c r="B16" s="0" t="str">
        <f aca="false">Tex_table_comparison!B22</f>
        <v>&amp;</v>
      </c>
      <c r="C16" s="7" t="n">
        <f aca="false">Tex_table_comparison!C22</f>
        <v>909</v>
      </c>
      <c r="D16" s="0" t="str">
        <f aca="false">Tex_table_comparison!D22</f>
        <v>&amp;</v>
      </c>
      <c r="E16" s="7" t="n">
        <f aca="false">Tex_table_comparison!E22</f>
        <v>780</v>
      </c>
      <c r="F16" s="0" t="str">
        <f aca="false">Tex_table_comparison!F22</f>
        <v>&amp;</v>
      </c>
      <c r="G16" s="0" t="str">
        <f aca="false">Tex_table_comparison!G22</f>
        <v>\textcolor{OliveGreen}{</v>
      </c>
      <c r="H16" s="19" t="n">
        <f aca="false">Tex_table_comparison!H22</f>
        <v>-0.141914191419142</v>
      </c>
      <c r="I16" s="0" t="str">
        <f aca="false">Tex_table_comparison!I22</f>
        <v>}\\</v>
      </c>
    </row>
    <row r="17" customFormat="false" ht="15" hidden="false" customHeight="false" outlineLevel="0" collapsed="false">
      <c r="A17" s="0" t="str">
        <f aca="false">Tex_table_comparison!A23</f>
        <v>SK size$^*$</v>
      </c>
      <c r="B17" s="0" t="str">
        <f aca="false">Tex_table_comparison!B23</f>
        <v>&amp;</v>
      </c>
      <c r="C17" s="7" t="n">
        <f aca="false">Tex_table_comparison!C23</f>
        <v>24</v>
      </c>
      <c r="D17" s="0" t="str">
        <f aca="false">Tex_table_comparison!D23</f>
        <v>&amp;</v>
      </c>
      <c r="E17" s="7" t="n">
        <f aca="false">Tex_table_comparison!E23</f>
        <v>24</v>
      </c>
      <c r="F17" s="0" t="str">
        <f aca="false">Tex_table_comparison!F23</f>
        <v>&amp;</v>
      </c>
      <c r="G17" s="0" t="str">
        <f aca="false">Tex_table_comparison!G23</f>
        <v>\textcolor{OliveGreen}{</v>
      </c>
      <c r="H17" s="19" t="n">
        <f aca="false">Tex_table_comparison!H23</f>
        <v>0</v>
      </c>
      <c r="I17" s="0" t="str">
        <f aca="false">Tex_table_comparison!I23</f>
        <v>}\\</v>
      </c>
    </row>
    <row r="18" customFormat="false" ht="15" hidden="false" customHeight="false" outlineLevel="0" collapsed="false">
      <c r="A18" s="0" t="str">
        <f aca="false">Tex_table_comparison!A24</f>
        <v>CT size$^*$</v>
      </c>
      <c r="B18" s="0" t="str">
        <f aca="false">Tex_table_comparison!B24</f>
        <v>&amp;</v>
      </c>
      <c r="C18" s="7" t="n">
        <f aca="false">Tex_table_comparison!C24</f>
        <v>981</v>
      </c>
      <c r="D18" s="0" t="str">
        <f aca="false">Tex_table_comparison!D24</f>
        <v>&amp;</v>
      </c>
      <c r="E18" s="7" t="n">
        <f aca="false">Tex_table_comparison!E24</f>
        <v>859</v>
      </c>
      <c r="F18" s="0" t="str">
        <f aca="false">Tex_table_comparison!F24</f>
        <v>&amp;</v>
      </c>
      <c r="G18" s="0" t="str">
        <f aca="false">Tex_table_comparison!G24</f>
        <v>\textcolor{OliveGreen}{</v>
      </c>
      <c r="H18" s="19" t="n">
        <f aca="false">Tex_table_comparison!H24</f>
        <v>-0.124362895005097</v>
      </c>
      <c r="I18" s="0" t="str">
        <f aca="false">Tex_table_comparison!I24</f>
        <v>}\\</v>
      </c>
    </row>
    <row r="19" customFormat="false" ht="15" hidden="false" customHeight="false" outlineLevel="0" collapsed="false">
      <c r="A19" s="0" t="str">
        <f aca="false">Tex_table_comparison!A25</f>
        <v>Enc latency$^{**}$</v>
      </c>
      <c r="B19" s="0" t="str">
        <f aca="false">Tex_table_comparison!B25</f>
        <v>&amp;</v>
      </c>
      <c r="C19" s="7" t="n">
        <f aca="false">Tex_table_comparison!C25</f>
        <v>3862</v>
      </c>
      <c r="D19" s="0" t="str">
        <f aca="false">Tex_table_comparison!D25</f>
        <v>&amp;</v>
      </c>
      <c r="E19" s="7" t="n">
        <f aca="false">Tex_table_comparison!E25</f>
        <v>3453</v>
      </c>
      <c r="F19" s="0" t="str">
        <f aca="false">Tex_table_comparison!F25</f>
        <v>&amp;</v>
      </c>
      <c r="G19" s="0" t="str">
        <f aca="false">Tex_table_comparison!G25</f>
        <v>\textcolor{OliveGreen}{</v>
      </c>
      <c r="H19" s="19" t="n">
        <f aca="false">Tex_table_comparison!H25</f>
        <v>-0.105903676851372</v>
      </c>
      <c r="I19" s="0" t="str">
        <f aca="false">Tex_table_comparison!I25</f>
        <v>}\\</v>
      </c>
    </row>
    <row r="20" customFormat="false" ht="15" hidden="false" customHeight="false" outlineLevel="0" collapsed="false">
      <c r="A20" s="0" t="str">
        <f aca="false">Tex_table_comparison!A26</f>
        <v>Dec latency$^{**}$</v>
      </c>
      <c r="B20" s="0" t="str">
        <f aca="false">Tex_table_comparison!B26</f>
        <v>&amp;</v>
      </c>
      <c r="C20" s="7" t="n">
        <f aca="false">Tex_table_comparison!C26</f>
        <v>1901</v>
      </c>
      <c r="D20" s="0" t="str">
        <f aca="false">Tex_table_comparison!D26</f>
        <v>&amp;</v>
      </c>
      <c r="E20" s="7" t="n">
        <f aca="false">Tex_table_comparison!E26</f>
        <v>1831</v>
      </c>
      <c r="F20" s="0" t="str">
        <f aca="false">Tex_table_comparison!F26</f>
        <v>&amp;</v>
      </c>
      <c r="G20" s="0" t="str">
        <f aca="false">Tex_table_comparison!G26</f>
        <v>\textcolor{OliveGreen}{</v>
      </c>
      <c r="H20" s="19" t="n">
        <f aca="false">Tex_table_comparison!H26</f>
        <v>-0.0368227248816412</v>
      </c>
      <c r="I20" s="0" t="str">
        <f aca="false">Tex_table_comparison!I26</f>
        <v>}\\</v>
      </c>
      <c r="J20" s="0" t="s">
        <v>120</v>
      </c>
    </row>
    <row r="21" customFormat="false" ht="15" hidden="false" customHeight="false" outlineLevel="0" collapsed="false">
      <c r="A21" s="0" t="str">
        <f aca="false">Tex_table_comparison!A33</f>
        <v>Intel ALM’s</v>
      </c>
      <c r="B21" s="0" t="str">
        <f aca="false">Tex_table_comparison!B33</f>
        <v>&amp;</v>
      </c>
      <c r="C21" s="7" t="n">
        <f aca="false">Tex_table_comparison!C33</f>
        <v>46466</v>
      </c>
      <c r="D21" s="0" t="str">
        <f aca="false">Tex_table_comparison!D33</f>
        <v>&amp;</v>
      </c>
      <c r="E21" s="7" t="n">
        <f aca="false">Tex_table_comparison!E33</f>
        <v>40885</v>
      </c>
      <c r="F21" s="0" t="str">
        <f aca="false">Tex_table_comparison!F33</f>
        <v>&amp;</v>
      </c>
      <c r="G21" s="0" t="str">
        <f aca="false">Tex_table_comparison!G33</f>
        <v>\textcolor{OliveGreen}{</v>
      </c>
      <c r="H21" s="19" t="n">
        <f aca="false">Tex_table_comparison!H33</f>
        <v>-0.120109327250032</v>
      </c>
      <c r="I21" s="0" t="str">
        <f aca="false">Tex_table_comparison!I33</f>
        <v>}\\</v>
      </c>
    </row>
    <row r="22" customFormat="false" ht="15" hidden="false" customHeight="false" outlineLevel="0" collapsed="false">
      <c r="A22" s="0" t="str">
        <f aca="false">Tex_table_comparison!A34</f>
        <v>Intel Registers</v>
      </c>
      <c r="B22" s="0" t="str">
        <f aca="false">Tex_table_comparison!B34</f>
        <v>&amp;</v>
      </c>
      <c r="C22" s="7" t="n">
        <f aca="false">Tex_table_comparison!C34</f>
        <v>107014</v>
      </c>
      <c r="D22" s="0" t="str">
        <f aca="false">Tex_table_comparison!D34</f>
        <v>&amp;</v>
      </c>
      <c r="E22" s="7" t="n">
        <f aca="false">Tex_table_comparison!E34</f>
        <v>97090</v>
      </c>
      <c r="F22" s="0" t="str">
        <f aca="false">Tex_table_comparison!F34</f>
        <v>&amp;</v>
      </c>
      <c r="G22" s="0" t="str">
        <f aca="false">Tex_table_comparison!G34</f>
        <v>\textcolor{OliveGreen}{</v>
      </c>
      <c r="H22" s="19" t="n">
        <f aca="false">Tex_table_comparison!H34</f>
        <v>-0.0927355299306633</v>
      </c>
      <c r="I22" s="0" t="str">
        <f aca="false">Tex_table_comparison!I34</f>
        <v>}\\</v>
      </c>
    </row>
    <row r="23" customFormat="false" ht="15" hidden="false" customHeight="false" outlineLevel="0" collapsed="false">
      <c r="A23" s="0" t="str">
        <f aca="false">Tex_table_comparison!A35</f>
        <v>Intel BRAM’s</v>
      </c>
      <c r="B23" s="0" t="str">
        <f aca="false">Tex_table_comparison!B35</f>
        <v>&amp;</v>
      </c>
      <c r="C23" s="7" t="n">
        <f aca="false">Tex_table_comparison!C35</f>
        <v>4</v>
      </c>
      <c r="D23" s="0" t="str">
        <f aca="false">Tex_table_comparison!D35</f>
        <v>&amp;</v>
      </c>
      <c r="E23" s="7" t="n">
        <f aca="false">Tex_table_comparison!E35</f>
        <v>4</v>
      </c>
      <c r="F23" s="0" t="str">
        <f aca="false">Tex_table_comparison!F35</f>
        <v>&amp;</v>
      </c>
      <c r="G23" s="0" t="str">
        <f aca="false">Tex_table_comparison!G35</f>
        <v>\textcolor{OliveGreen}{</v>
      </c>
      <c r="H23" s="19" t="n">
        <f aca="false">Tex_table_comparison!H35</f>
        <v>0</v>
      </c>
      <c r="I23" s="0" t="str">
        <f aca="false">Tex_table_comparison!I35</f>
        <v>}\\</v>
      </c>
    </row>
    <row r="24" customFormat="false" ht="15" hidden="false" customHeight="false" outlineLevel="0" collapsed="false">
      <c r="A24" s="0" t="str">
        <f aca="false">Tex_table_comparison!A36</f>
        <v>Intel Max. freq (MHz)</v>
      </c>
      <c r="B24" s="0" t="str">
        <f aca="false">Tex_table_comparison!B36</f>
        <v>&amp;</v>
      </c>
      <c r="C24" s="7" t="n">
        <f aca="false">Tex_table_comparison!C36</f>
        <v>177.34</v>
      </c>
      <c r="D24" s="0" t="str">
        <f aca="false">Tex_table_comparison!D36</f>
        <v>&amp;</v>
      </c>
      <c r="E24" s="7" t="n">
        <f aca="false">Tex_table_comparison!E36</f>
        <v>193.01</v>
      </c>
      <c r="F24" s="0" t="str">
        <f aca="false">Tex_table_comparison!F36</f>
        <v>&amp;</v>
      </c>
      <c r="G24" s="0" t="str">
        <f aca="false">Tex_table_comparison!G36</f>
        <v>\textcolor{OliveGreen}{+</v>
      </c>
      <c r="H24" s="19" t="n">
        <f aca="false">Tex_table_comparison!H36</f>
        <v>0.0883613397992556</v>
      </c>
      <c r="I24" s="0" t="str">
        <f aca="false">Tex_table_comparison!I36</f>
        <v>}\\</v>
      </c>
    </row>
    <row r="25" customFormat="false" ht="15" hidden="false" customHeight="false" outlineLevel="0" collapsed="false">
      <c r="A25" s="0" t="str">
        <f aca="false">Tex_table_comparison!A37</f>
        <v>Enc time</v>
      </c>
      <c r="B25" s="0" t="str">
        <f aca="false">Tex_table_comparison!B37</f>
        <v>&amp;</v>
      </c>
      <c r="C25" s="8" t="n">
        <f aca="false">Tex_table_comparison!C37</f>
        <v>21.7773767903462</v>
      </c>
      <c r="D25" s="8" t="str">
        <f aca="false">Tex_table_comparison!D37</f>
        <v>&amp;</v>
      </c>
      <c r="E25" s="8" t="n">
        <f aca="false">Tex_table_comparison!E37</f>
        <v>17.8902647531216</v>
      </c>
      <c r="F25" s="0" t="str">
        <f aca="false">Tex_table_comparison!F37</f>
        <v>&amp;</v>
      </c>
      <c r="G25" s="0" t="str">
        <f aca="false">Tex_table_comparison!G37</f>
        <v>\textcolor{OliveGreen}{</v>
      </c>
      <c r="H25" s="19" t="n">
        <f aca="false">Tex_table_comparison!H37</f>
        <v>-0.178493124982241</v>
      </c>
      <c r="I25" s="0" t="str">
        <f aca="false">Tex_table_comparison!I37</f>
        <v>}\\</v>
      </c>
    </row>
    <row r="26" customFormat="false" ht="15" hidden="false" customHeight="false" outlineLevel="0" collapsed="false">
      <c r="A26" s="0" t="str">
        <f aca="false">Tex_table_comparison!A38</f>
        <v>Dec time</v>
      </c>
      <c r="B26" s="0" t="str">
        <f aca="false">Tex_table_comparison!B38</f>
        <v>&amp;</v>
      </c>
      <c r="C26" s="8" t="n">
        <f aca="false">Tex_table_comparison!C38</f>
        <v>10.7195218224879</v>
      </c>
      <c r="D26" s="8" t="str">
        <f aca="false">Tex_table_comparison!D38</f>
        <v>&amp;</v>
      </c>
      <c r="E26" s="8" t="n">
        <f aca="false">Tex_table_comparison!E38</f>
        <v>9.48655510077198</v>
      </c>
      <c r="F26" s="0" t="str">
        <f aca="false">Tex_table_comparison!F38</f>
        <v>&amp;</v>
      </c>
      <c r="G26" s="0" t="str">
        <f aca="false">Tex_table_comparison!G38</f>
        <v>\textcolor{OliveGreen}{</v>
      </c>
      <c r="H26" s="19" t="n">
        <f aca="false">Tex_table_comparison!H38</f>
        <v>-0.115020683024249</v>
      </c>
      <c r="I26" s="0" t="str">
        <f aca="false">Tex_table_comparison!I38</f>
        <v>}\\</v>
      </c>
    </row>
    <row r="27" s="12" customFormat="true" ht="15" hidden="false" customHeight="false" outlineLevel="0" collapsed="false">
      <c r="A27" s="12" t="str">
        <f aca="false">Tex_table_comparison!A39</f>
        <v>Parameter set</v>
      </c>
      <c r="B27" s="12" t="str">
        <f aca="false">Tex_table_comparison!B39</f>
        <v>&amp;</v>
      </c>
      <c r="C27" s="10" t="str">
        <f aca="false">Tex_table_comparison!C39</f>
        <v>5KEM_0d</v>
      </c>
      <c r="D27" s="12" t="str">
        <f aca="false">Tex_table_comparison!D39</f>
        <v>&amp;</v>
      </c>
      <c r="E27" s="10" t="str">
        <f aca="false">Tex_table_comparison!E39</f>
        <v>5KEM_5d</v>
      </c>
      <c r="F27" s="12" t="str">
        <f aca="false">Tex_table_comparison!F39</f>
        <v>&amp;</v>
      </c>
      <c r="H27" s="20" t="n">
        <f aca="false">Tex_table_comparison!H39</f>
        <v>0</v>
      </c>
      <c r="I27" s="12" t="str">
        <f aca="false">Tex_table_comparison!I39</f>
        <v>}\\</v>
      </c>
    </row>
    <row r="28" customFormat="false" ht="15" hidden="false" customHeight="false" outlineLevel="0" collapsed="false">
      <c r="A28" s="0" t="str">
        <f aca="false">Tex_table_comparison!A40</f>
        <v>Poly degree*</v>
      </c>
      <c r="B28" s="0" t="str">
        <f aca="false">Tex_table_comparison!B40</f>
        <v>&amp;</v>
      </c>
      <c r="C28" s="7" t="n">
        <f aca="false">Tex_table_comparison!C40</f>
        <v>1018</v>
      </c>
      <c r="D28" s="0" t="str">
        <f aca="false">Tex_table_comparison!D40</f>
        <v>&amp;</v>
      </c>
      <c r="E28" s="7" t="n">
        <f aca="false">Tex_table_comparison!E40</f>
        <v>940</v>
      </c>
      <c r="F28" s="0" t="str">
        <f aca="false">Tex_table_comparison!F40</f>
        <v>&amp;</v>
      </c>
      <c r="G28" s="0" t="str">
        <f aca="false">Tex_table_comparison!G40</f>
        <v>\textcolor{OliveGreen}{</v>
      </c>
      <c r="H28" s="19" t="n">
        <f aca="false">Tex_table_comparison!H40</f>
        <v>-0.0766208251473477</v>
      </c>
      <c r="I28" s="0" t="str">
        <f aca="false">Tex_table_comparison!I40</f>
        <v>}\\</v>
      </c>
    </row>
    <row r="29" customFormat="false" ht="15" hidden="false" customHeight="false" outlineLevel="0" collapsed="false">
      <c r="A29" s="0" t="str">
        <f aca="false">Tex_table_comparison!A41</f>
        <v>PK size$^*$</v>
      </c>
      <c r="B29" s="0" t="str">
        <f aca="false">Tex_table_comparison!B41</f>
        <v>&amp;</v>
      </c>
      <c r="C29" s="7" t="n">
        <f aca="false">Tex_table_comparison!C41</f>
        <v>1176</v>
      </c>
      <c r="D29" s="0" t="str">
        <f aca="false">Tex_table_comparison!D41</f>
        <v>&amp;</v>
      </c>
      <c r="E29" s="7" t="n">
        <f aca="false">Tex_table_comparison!E41</f>
        <v>972</v>
      </c>
      <c r="F29" s="0" t="str">
        <f aca="false">Tex_table_comparison!F41</f>
        <v>&amp;</v>
      </c>
      <c r="G29" s="0" t="str">
        <f aca="false">Tex_table_comparison!G41</f>
        <v>\textcolor{OliveGreen}{</v>
      </c>
      <c r="H29" s="19" t="n">
        <f aca="false">Tex_table_comparison!H41</f>
        <v>-0.173469387755102</v>
      </c>
      <c r="I29" s="0" t="str">
        <f aca="false">Tex_table_comparison!I41</f>
        <v>}\\</v>
      </c>
    </row>
    <row r="30" customFormat="false" ht="15" hidden="false" customHeight="false" outlineLevel="0" collapsed="false">
      <c r="A30" s="0" t="str">
        <f aca="false">Tex_table_comparison!A42</f>
        <v>SK size$^*$</v>
      </c>
      <c r="B30" s="0" t="str">
        <f aca="false">Tex_table_comparison!B42</f>
        <v>&amp;</v>
      </c>
      <c r="C30" s="7" t="n">
        <f aca="false">Tex_table_comparison!C42</f>
        <v>32</v>
      </c>
      <c r="D30" s="0" t="str">
        <f aca="false">Tex_table_comparison!D42</f>
        <v>&amp;</v>
      </c>
      <c r="E30" s="7" t="n">
        <f aca="false">Tex_table_comparison!E42</f>
        <v>32</v>
      </c>
      <c r="F30" s="0" t="str">
        <f aca="false">Tex_table_comparison!F42</f>
        <v>&amp;</v>
      </c>
      <c r="G30" s="0" t="str">
        <f aca="false">Tex_table_comparison!G42</f>
        <v>\textcolor{OliveGreen}{</v>
      </c>
      <c r="H30" s="19" t="n">
        <f aca="false">Tex_table_comparison!H42</f>
        <v>0</v>
      </c>
      <c r="I30" s="0" t="str">
        <f aca="false">Tex_table_comparison!I42</f>
        <v>}\\</v>
      </c>
    </row>
    <row r="31" customFormat="false" ht="15" hidden="false" customHeight="false" outlineLevel="0" collapsed="false">
      <c r="A31" s="0" t="str">
        <f aca="false">Tex_table_comparison!A43</f>
        <v>CT size$^*$</v>
      </c>
      <c r="B31" s="0" t="str">
        <f aca="false">Tex_table_comparison!B43</f>
        <v>&amp;</v>
      </c>
      <c r="C31" s="7" t="n">
        <f aca="false">Tex_table_comparison!C43</f>
        <v>1274</v>
      </c>
      <c r="D31" s="0" t="str">
        <f aca="false">Tex_table_comparison!D43</f>
        <v>&amp;</v>
      </c>
      <c r="E31" s="7" t="n">
        <f aca="false">Tex_table_comparison!E43</f>
        <v>1063</v>
      </c>
      <c r="F31" s="0" t="str">
        <f aca="false">Tex_table_comparison!F43</f>
        <v>&amp;</v>
      </c>
      <c r="G31" s="0" t="str">
        <f aca="false">Tex_table_comparison!G43</f>
        <v>\textcolor{OliveGreen}{</v>
      </c>
      <c r="H31" s="19" t="n">
        <f aca="false">Tex_table_comparison!H43</f>
        <v>-0.165620094191523</v>
      </c>
      <c r="I31" s="0" t="str">
        <f aca="false">Tex_table_comparison!I43</f>
        <v>}\\</v>
      </c>
    </row>
    <row r="32" customFormat="false" ht="15" hidden="false" customHeight="false" outlineLevel="0" collapsed="false">
      <c r="A32" s="0" t="str">
        <f aca="false">Tex_table_comparison!A44</f>
        <v>Enc latency$^{**}$</v>
      </c>
      <c r="B32" s="0" t="str">
        <f aca="false">Tex_table_comparison!B44</f>
        <v>&amp;</v>
      </c>
      <c r="C32" s="7" t="n">
        <f aca="false">Tex_table_comparison!C44</f>
        <v>5031</v>
      </c>
      <c r="D32" s="0" t="str">
        <f aca="false">Tex_table_comparison!D44</f>
        <v>&amp;</v>
      </c>
      <c r="E32" s="7" t="n">
        <f aca="false">Tex_table_comparison!E44</f>
        <v>4279</v>
      </c>
      <c r="F32" s="0" t="str">
        <f aca="false">Tex_table_comparison!F44</f>
        <v>&amp;</v>
      </c>
      <c r="G32" s="0" t="str">
        <f aca="false">Tex_table_comparison!G44</f>
        <v>\textcolor{OliveGreen}{</v>
      </c>
      <c r="H32" s="19" t="n">
        <f aca="false">Tex_table_comparison!H44</f>
        <v>-0.149473265752336</v>
      </c>
      <c r="I32" s="0" t="str">
        <f aca="false">Tex_table_comparison!I44</f>
        <v>}\\</v>
      </c>
    </row>
    <row r="33" customFormat="false" ht="15" hidden="false" customHeight="false" outlineLevel="0" collapsed="false">
      <c r="A33" s="0" t="str">
        <f aca="false">Tex_table_comparison!A45</f>
        <v>Dec latency$^{**}$</v>
      </c>
      <c r="B33" s="0" t="str">
        <f aca="false">Tex_table_comparison!B45</f>
        <v>&amp;</v>
      </c>
      <c r="C33" s="7" t="n">
        <f aca="false">Tex_table_comparison!C45</f>
        <v>2450</v>
      </c>
      <c r="D33" s="0" t="str">
        <f aca="false">Tex_table_comparison!D45</f>
        <v>&amp;</v>
      </c>
      <c r="E33" s="7" t="n">
        <f aca="false">Tex_table_comparison!E45</f>
        <v>2252</v>
      </c>
      <c r="F33" s="0" t="str">
        <f aca="false">Tex_table_comparison!F45</f>
        <v>&amp;</v>
      </c>
      <c r="G33" s="0" t="str">
        <f aca="false">Tex_table_comparison!G45</f>
        <v>\textcolor{OliveGreen}{</v>
      </c>
      <c r="H33" s="19" t="n">
        <f aca="false">Tex_table_comparison!H45</f>
        <v>-0.0808163265306122</v>
      </c>
      <c r="I33" s="0" t="str">
        <f aca="false">Tex_table_comparison!I45</f>
        <v>}\\</v>
      </c>
      <c r="J33" s="0" t="s">
        <v>120</v>
      </c>
    </row>
    <row r="34" customFormat="false" ht="15" hidden="false" customHeight="false" outlineLevel="0" collapsed="false">
      <c r="A34" s="0" t="str">
        <f aca="false">Tex_table_comparison!A52</f>
        <v>Intel ALM’s</v>
      </c>
      <c r="B34" s="0" t="str">
        <f aca="false">Tex_table_comparison!B52</f>
        <v>&amp;</v>
      </c>
      <c r="C34" s="7" t="n">
        <f aca="false">Tex_table_comparison!C52</f>
        <v>61823</v>
      </c>
      <c r="D34" s="0" t="str">
        <f aca="false">Tex_table_comparison!D52</f>
        <v>&amp;</v>
      </c>
      <c r="E34" s="7" t="n">
        <f aca="false">Tex_table_comparison!E52</f>
        <v>50145</v>
      </c>
      <c r="F34" s="0" t="str">
        <f aca="false">Tex_table_comparison!F52</f>
        <v>&amp;</v>
      </c>
      <c r="G34" s="0" t="str">
        <f aca="false">Tex_table_comparison!G52</f>
        <v>\textcolor{OliveGreen}{</v>
      </c>
      <c r="H34" s="19" t="n">
        <f aca="false">Tex_table_comparison!H52</f>
        <v>-0.188894100900959</v>
      </c>
      <c r="I34" s="0" t="str">
        <f aca="false">Tex_table_comparison!I52</f>
        <v>}\\</v>
      </c>
    </row>
    <row r="35" customFormat="false" ht="15" hidden="false" customHeight="false" outlineLevel="0" collapsed="false">
      <c r="A35" s="0" t="str">
        <f aca="false">Tex_table_comparison!A53</f>
        <v>Intel Registers</v>
      </c>
      <c r="B35" s="0" t="str">
        <f aca="false">Tex_table_comparison!B53</f>
        <v>&amp;</v>
      </c>
      <c r="C35" s="7" t="n">
        <f aca="false">Tex_table_comparison!C53</f>
        <v>146373</v>
      </c>
      <c r="D35" s="0" t="str">
        <f aca="false">Tex_table_comparison!D53</f>
        <v>&amp;</v>
      </c>
      <c r="E35" s="7" t="n">
        <f aca="false">Tex_table_comparison!E53</f>
        <v>117657</v>
      </c>
      <c r="F35" s="0" t="str">
        <f aca="false">Tex_table_comparison!F53</f>
        <v>&amp;</v>
      </c>
      <c r="G35" s="0" t="str">
        <f aca="false">Tex_table_comparison!G53</f>
        <v>\textcolor{OliveGreen}{</v>
      </c>
      <c r="H35" s="19" t="n">
        <f aca="false">Tex_table_comparison!H53</f>
        <v>-0.196183722407821</v>
      </c>
      <c r="I35" s="0" t="str">
        <f aca="false">Tex_table_comparison!I53</f>
        <v>}\\</v>
      </c>
    </row>
    <row r="36" customFormat="false" ht="15" hidden="false" customHeight="false" outlineLevel="0" collapsed="false">
      <c r="A36" s="0" t="str">
        <f aca="false">Tex_table_comparison!A54</f>
        <v>Intel BRAM’s</v>
      </c>
      <c r="B36" s="0" t="str">
        <f aca="false">Tex_table_comparison!B54</f>
        <v>&amp;</v>
      </c>
      <c r="C36" s="7" t="n">
        <f aca="false">Tex_table_comparison!C54</f>
        <v>4</v>
      </c>
      <c r="D36" s="0" t="str">
        <f aca="false">Tex_table_comparison!D54</f>
        <v>&amp;</v>
      </c>
      <c r="E36" s="7" t="n">
        <f aca="false">Tex_table_comparison!E54</f>
        <v>4</v>
      </c>
      <c r="F36" s="0" t="str">
        <f aca="false">Tex_table_comparison!F54</f>
        <v>&amp;</v>
      </c>
      <c r="G36" s="0" t="str">
        <f aca="false">Tex_table_comparison!G54</f>
        <v>\textcolor{OliveGreen}{</v>
      </c>
      <c r="H36" s="19" t="n">
        <f aca="false">Tex_table_comparison!H54</f>
        <v>0</v>
      </c>
      <c r="I36" s="0" t="str">
        <f aca="false">Tex_table_comparison!I54</f>
        <v>}\\</v>
      </c>
    </row>
    <row r="37" customFormat="false" ht="15" hidden="false" customHeight="false" outlineLevel="0" collapsed="false">
      <c r="A37" s="0" t="str">
        <f aca="false">Tex_table_comparison!A55</f>
        <v>Intel Max. freq (MHz)</v>
      </c>
      <c r="B37" s="0" t="str">
        <f aca="false">Tex_table_comparison!B55</f>
        <v>&amp;</v>
      </c>
      <c r="C37" s="7" t="n">
        <f aca="false">Tex_table_comparison!C55</f>
        <v>183.82</v>
      </c>
      <c r="D37" s="0" t="str">
        <f aca="false">Tex_table_comparison!D55</f>
        <v>&amp;</v>
      </c>
      <c r="E37" s="7" t="n">
        <f aca="false">Tex_table_comparison!E55</f>
        <v>184.2</v>
      </c>
      <c r="F37" s="0" t="str">
        <f aca="false">Tex_table_comparison!F55</f>
        <v>&amp;</v>
      </c>
      <c r="G37" s="0" t="str">
        <f aca="false">Tex_table_comparison!G55</f>
        <v>\textcolor{OliveGreen}{+</v>
      </c>
      <c r="H37" s="19" t="n">
        <f aca="false">Tex_table_comparison!H55</f>
        <v>0.00206723969100204</v>
      </c>
      <c r="I37" s="0" t="str">
        <f aca="false">Tex_table_comparison!I55</f>
        <v>}\\</v>
      </c>
    </row>
    <row r="38" customFormat="false" ht="15" hidden="false" customHeight="false" outlineLevel="0" collapsed="false">
      <c r="A38" s="0" t="str">
        <f aca="false">Tex_table_comparison!A56</f>
        <v>Enc time</v>
      </c>
      <c r="B38" s="0" t="str">
        <f aca="false">Tex_table_comparison!B56</f>
        <v>&amp;</v>
      </c>
      <c r="C38" s="8" t="n">
        <f aca="false">Tex_table_comparison!C56</f>
        <v>27.3691654879774</v>
      </c>
      <c r="D38" s="8" t="str">
        <f aca="false">Tex_table_comparison!D56</f>
        <v>&amp;</v>
      </c>
      <c r="E38" s="8" t="n">
        <f aca="false">Tex_table_comparison!E56</f>
        <v>23.2301845819761</v>
      </c>
      <c r="F38" s="0" t="str">
        <f aca="false">Tex_table_comparison!F56</f>
        <v>&amp;</v>
      </c>
      <c r="G38" s="0" t="str">
        <f aca="false">Tex_table_comparison!G56</f>
        <v>\textcolor{OliveGreen}{</v>
      </c>
      <c r="H38" s="19" t="n">
        <f aca="false">Tex_table_comparison!H56</f>
        <v>-0.151227881165007</v>
      </c>
      <c r="I38" s="0" t="str">
        <f aca="false">Tex_table_comparison!I56</f>
        <v>}\\</v>
      </c>
    </row>
    <row r="39" customFormat="false" ht="15" hidden="false" customHeight="false" outlineLevel="0" collapsed="false">
      <c r="A39" s="0" t="str">
        <f aca="false">Tex_table_comparison!A57</f>
        <v>Dec time</v>
      </c>
      <c r="B39" s="0" t="str">
        <f aca="false">Tex_table_comparison!B57</f>
        <v>&amp;</v>
      </c>
      <c r="C39" s="8" t="n">
        <f aca="false">Tex_table_comparison!C57</f>
        <v>13.3282559025133</v>
      </c>
      <c r="D39" s="8" t="str">
        <f aca="false">Tex_table_comparison!D57</f>
        <v>&amp;</v>
      </c>
      <c r="E39" s="8" t="n">
        <f aca="false">Tex_table_comparison!E57</f>
        <v>12.2258414766558</v>
      </c>
      <c r="F39" s="0" t="str">
        <f aca="false">Tex_table_comparison!F57</f>
        <v>&amp;</v>
      </c>
      <c r="G39" s="0" t="str">
        <f aca="false">Tex_table_comparison!G57</f>
        <v>\textcolor{OliveGreen}{</v>
      </c>
      <c r="H39" s="19" t="n">
        <f aca="false">Tex_table_comparison!H57</f>
        <v>-0.0827125794943385</v>
      </c>
      <c r="I39" s="0" t="str">
        <f aca="false">Tex_table_comparison!I57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" activeCellId="1" sqref="S90:S101 G2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5" min="3" style="7" width="8.57"/>
    <col collapsed="false" customWidth="true" hidden="false" outlineLevel="0" max="6" min="6" style="0" width="8.57"/>
    <col collapsed="false" customWidth="true" hidden="false" outlineLevel="0" max="7" min="7" style="0" width="21.43"/>
    <col collapsed="false" customWidth="true" hidden="false" outlineLevel="0" max="8" min="8" style="19" width="8.57"/>
    <col collapsed="false" customWidth="true" hidden="false" outlineLevel="0" max="1025" min="9" style="0" width="8.57"/>
  </cols>
  <sheetData>
    <row r="1" s="12" customFormat="true" ht="15" hidden="false" customHeight="false" outlineLevel="0" collapsed="false">
      <c r="A1" s="12" t="str">
        <f aca="false">Tex_table_comparison!A58</f>
        <v>Parameter set</v>
      </c>
      <c r="B1" s="12" t="str">
        <f aca="false">Tex_table_comparison!B58</f>
        <v>&amp;</v>
      </c>
      <c r="C1" s="10" t="str">
        <f aca="false">Tex_table_comparison!C58</f>
        <v>1PKE_0d</v>
      </c>
      <c r="D1" s="10" t="str">
        <f aca="false">Tex_table_comparison!D58</f>
        <v>&amp;</v>
      </c>
      <c r="E1" s="10" t="str">
        <f aca="false">Tex_table_comparison!E58</f>
        <v>1PKE_5d</v>
      </c>
      <c r="F1" s="12" t="str">
        <f aca="false">Tex_table_comparison!F58</f>
        <v>&amp;</v>
      </c>
      <c r="H1" s="20"/>
      <c r="I1" s="12" t="s">
        <v>114</v>
      </c>
    </row>
    <row r="2" customFormat="false" ht="15" hidden="false" customHeight="false" outlineLevel="0" collapsed="false">
      <c r="A2" s="0" t="str">
        <f aca="false">Tex_table_comparison!A59</f>
        <v>Poly degree*</v>
      </c>
      <c r="B2" s="0" t="str">
        <f aca="false">Tex_table_comparison!B59</f>
        <v>&amp;</v>
      </c>
      <c r="C2" s="7" t="n">
        <f aca="false">Tex_table_comparison!C59</f>
        <v>586</v>
      </c>
      <c r="D2" s="7" t="str">
        <f aca="false">Tex_table_comparison!D59</f>
        <v>&amp;</v>
      </c>
      <c r="E2" s="7" t="n">
        <f aca="false">Tex_table_comparison!E59</f>
        <v>508</v>
      </c>
      <c r="F2" s="0" t="str">
        <f aca="false">Tex_table_comparison!F59</f>
        <v>&amp;</v>
      </c>
      <c r="G2" s="0" t="str">
        <f aca="false">Tex_table_comparison!G59</f>
        <v>\textcolor{OliveGreen}{</v>
      </c>
      <c r="H2" s="19" t="n">
        <f aca="false">Tex_table_comparison!H59</f>
        <v>-0.133105802047782</v>
      </c>
      <c r="I2" s="0" t="str">
        <f aca="false">Tex_table_comparison!I59</f>
        <v>}\\</v>
      </c>
    </row>
    <row r="3" customFormat="false" ht="15" hidden="false" customHeight="false" outlineLevel="0" collapsed="false">
      <c r="A3" s="0" t="str">
        <f aca="false">Tex_table_comparison!A60</f>
        <v>PK size$^*$</v>
      </c>
      <c r="B3" s="0" t="str">
        <f aca="false">Tex_table_comparison!B60</f>
        <v>&amp;</v>
      </c>
      <c r="C3" s="7" t="n">
        <f aca="false">Tex_table_comparison!C60</f>
        <v>676</v>
      </c>
      <c r="D3" s="7" t="str">
        <f aca="false">Tex_table_comparison!D60</f>
        <v>&amp;</v>
      </c>
      <c r="E3" s="7" t="n">
        <f aca="false">Tex_table_comparison!E60</f>
        <v>461</v>
      </c>
      <c r="F3" s="0" t="str">
        <f aca="false">Tex_table_comparison!F60</f>
        <v>&amp;</v>
      </c>
      <c r="G3" s="0" t="str">
        <f aca="false">Tex_table_comparison!G60</f>
        <v>\textcolor{OliveGreen}{</v>
      </c>
      <c r="H3" s="19" t="n">
        <f aca="false">Tex_table_comparison!H60</f>
        <v>-0.318047337278107</v>
      </c>
      <c r="I3" s="0" t="str">
        <f aca="false">Tex_table_comparison!I60</f>
        <v>}\\</v>
      </c>
    </row>
    <row r="4" customFormat="false" ht="15" hidden="false" customHeight="false" outlineLevel="0" collapsed="false">
      <c r="A4" s="0" t="str">
        <f aca="false">Tex_table_comparison!A61</f>
        <v>SK size$^*$</v>
      </c>
      <c r="B4" s="0" t="str">
        <f aca="false">Tex_table_comparison!B61</f>
        <v>&amp;</v>
      </c>
      <c r="C4" s="7" t="n">
        <f aca="false">Tex_table_comparison!C61</f>
        <v>708</v>
      </c>
      <c r="D4" s="7" t="str">
        <f aca="false">Tex_table_comparison!D61</f>
        <v>&amp;</v>
      </c>
      <c r="E4" s="7" t="n">
        <f aca="false">Tex_table_comparison!E61</f>
        <v>493</v>
      </c>
      <c r="F4" s="0" t="str">
        <f aca="false">Tex_table_comparison!F61</f>
        <v>&amp;</v>
      </c>
      <c r="G4" s="0" t="str">
        <f aca="false">Tex_table_comparison!G61</f>
        <v>\textcolor{OliveGreen}{</v>
      </c>
      <c r="H4" s="19" t="n">
        <f aca="false">Tex_table_comparison!H61</f>
        <v>-0.303672316384181</v>
      </c>
      <c r="I4" s="0" t="str">
        <f aca="false">Tex_table_comparison!I61</f>
        <v>}\\</v>
      </c>
    </row>
    <row r="5" customFormat="false" ht="15" hidden="false" customHeight="false" outlineLevel="0" collapsed="false">
      <c r="A5" s="0" t="str">
        <f aca="false">Tex_table_comparison!A62</f>
        <v>CT size$^*$</v>
      </c>
      <c r="B5" s="0" t="str">
        <f aca="false">Tex_table_comparison!B62</f>
        <v>&amp;</v>
      </c>
      <c r="C5" s="7" t="n">
        <f aca="false">Tex_table_comparison!C62</f>
        <v>756</v>
      </c>
      <c r="D5" s="7" t="str">
        <f aca="false">Tex_table_comparison!D62</f>
        <v>&amp;</v>
      </c>
      <c r="E5" s="7" t="n">
        <f aca="false">Tex_table_comparison!E62</f>
        <v>636</v>
      </c>
      <c r="F5" s="0" t="str">
        <f aca="false">Tex_table_comparison!F62</f>
        <v>&amp;</v>
      </c>
      <c r="G5" s="0" t="str">
        <f aca="false">Tex_table_comparison!G62</f>
        <v>\textcolor{OliveGreen}{</v>
      </c>
      <c r="H5" s="19" t="n">
        <f aca="false">Tex_table_comparison!H62</f>
        <v>-0.158730158730159</v>
      </c>
      <c r="I5" s="0" t="str">
        <f aca="false">Tex_table_comparison!I62</f>
        <v>}\\</v>
      </c>
    </row>
    <row r="6" customFormat="false" ht="15" hidden="false" customHeight="false" outlineLevel="0" collapsed="false">
      <c r="A6" s="0" t="str">
        <f aca="false">Tex_table_comparison!A63</f>
        <v>Enc latency$^{**}$</v>
      </c>
      <c r="B6" s="0" t="str">
        <f aca="false">Tex_table_comparison!B63</f>
        <v>&amp;</v>
      </c>
      <c r="C6" s="7" t="n">
        <f aca="false">Tex_table_comparison!C63</f>
        <v>2990</v>
      </c>
      <c r="D6" s="7" t="str">
        <f aca="false">Tex_table_comparison!D63</f>
        <v>&amp;</v>
      </c>
      <c r="E6" s="7" t="n">
        <f aca="false">Tex_table_comparison!E63</f>
        <v>2423</v>
      </c>
      <c r="F6" s="0" t="str">
        <f aca="false">Tex_table_comparison!F63</f>
        <v>&amp;</v>
      </c>
      <c r="G6" s="0" t="str">
        <f aca="false">Tex_table_comparison!G63</f>
        <v>\textcolor{OliveGreen}{</v>
      </c>
      <c r="H6" s="19" t="n">
        <f aca="false">Tex_table_comparison!H63</f>
        <v>-0.189632107023411</v>
      </c>
      <c r="I6" s="0" t="str">
        <f aca="false">Tex_table_comparison!I63</f>
        <v>}\\</v>
      </c>
    </row>
    <row r="7" customFormat="false" ht="15" hidden="false" customHeight="false" outlineLevel="0" collapsed="false">
      <c r="A7" s="0" t="str">
        <f aca="false">Tex_table_comparison!A64</f>
        <v>Dec latency$^{**}$</v>
      </c>
      <c r="B7" s="0" t="str">
        <f aca="false">Tex_table_comparison!B64</f>
        <v>&amp;</v>
      </c>
      <c r="C7" s="7" t="n">
        <f aca="false">Tex_table_comparison!C64</f>
        <v>4063</v>
      </c>
      <c r="D7" s="7" t="str">
        <f aca="false">Tex_table_comparison!D64</f>
        <v>&amp;</v>
      </c>
      <c r="E7" s="7" t="n">
        <f aca="false">Tex_table_comparison!E64</f>
        <v>3395</v>
      </c>
      <c r="F7" s="0" t="str">
        <f aca="false">Tex_table_comparison!F64</f>
        <v>&amp;</v>
      </c>
      <c r="G7" s="0" t="str">
        <f aca="false">Tex_table_comparison!G64</f>
        <v>\textcolor{OliveGreen}{</v>
      </c>
      <c r="H7" s="19" t="n">
        <f aca="false">Tex_table_comparison!H64</f>
        <v>-0.164410534088112</v>
      </c>
      <c r="I7" s="0" t="str">
        <f aca="false">Tex_table_comparison!I64</f>
        <v>}\\</v>
      </c>
      <c r="J7" s="0" t="s">
        <v>120</v>
      </c>
    </row>
    <row r="8" customFormat="false" ht="15" hidden="false" customHeight="false" outlineLevel="0" collapsed="false">
      <c r="A8" s="0" t="str">
        <f aca="false">Tex_table_comparison!A71</f>
        <v>Intel ALM’s</v>
      </c>
      <c r="B8" s="0" t="str">
        <f aca="false">Tex_table_comparison!B71</f>
        <v>&amp;</v>
      </c>
      <c r="C8" s="7" t="n">
        <f aca="false">Tex_table_comparison!C71</f>
        <v>37252</v>
      </c>
      <c r="D8" s="7" t="str">
        <f aca="false">Tex_table_comparison!D71</f>
        <v>&amp;</v>
      </c>
      <c r="E8" s="7" t="n">
        <f aca="false">Tex_table_comparison!E71</f>
        <v>26998</v>
      </c>
      <c r="F8" s="0" t="str">
        <f aca="false">Tex_table_comparison!F71</f>
        <v>&amp;</v>
      </c>
      <c r="G8" s="0" t="str">
        <f aca="false">Tex_table_comparison!G71</f>
        <v>\textcolor{OliveGreen}{</v>
      </c>
      <c r="H8" s="19" t="n">
        <f aca="false">Tex_table_comparison!H71</f>
        <v>-0.275260388703962</v>
      </c>
      <c r="I8" s="0" t="str">
        <f aca="false">Tex_table_comparison!I71</f>
        <v>}\\</v>
      </c>
    </row>
    <row r="9" customFormat="false" ht="15" hidden="false" customHeight="false" outlineLevel="0" collapsed="false">
      <c r="A9" s="0" t="str">
        <f aca="false">Tex_table_comparison!A72</f>
        <v>Intel Registers</v>
      </c>
      <c r="B9" s="0" t="str">
        <f aca="false">Tex_table_comparison!B72</f>
        <v>&amp;</v>
      </c>
      <c r="C9" s="7" t="n">
        <f aca="false">Tex_table_comparison!C72</f>
        <v>82814</v>
      </c>
      <c r="D9" s="7" t="str">
        <f aca="false">Tex_table_comparison!D72</f>
        <v>&amp;</v>
      </c>
      <c r="E9" s="7" t="n">
        <f aca="false">Tex_table_comparison!E72</f>
        <v>57028</v>
      </c>
      <c r="F9" s="0" t="str">
        <f aca="false">Tex_table_comparison!F72</f>
        <v>&amp;</v>
      </c>
      <c r="G9" s="0" t="str">
        <f aca="false">Tex_table_comparison!G72</f>
        <v>\textcolor{OliveGreen}{</v>
      </c>
      <c r="H9" s="19" t="n">
        <f aca="false">Tex_table_comparison!H72</f>
        <v>-0.311372473253315</v>
      </c>
      <c r="I9" s="0" t="str">
        <f aca="false">Tex_table_comparison!I72</f>
        <v>}\\</v>
      </c>
    </row>
    <row r="10" customFormat="false" ht="15" hidden="false" customHeight="false" outlineLevel="0" collapsed="false">
      <c r="A10" s="0" t="str">
        <f aca="false">Tex_table_comparison!A73</f>
        <v>Intel BRAM’s</v>
      </c>
      <c r="B10" s="0" t="str">
        <f aca="false">Tex_table_comparison!B73</f>
        <v>&amp;</v>
      </c>
      <c r="C10" s="7" t="n">
        <f aca="false">Tex_table_comparison!C73</f>
        <v>6</v>
      </c>
      <c r="D10" s="7" t="str">
        <f aca="false">Tex_table_comparison!D73</f>
        <v>&amp;</v>
      </c>
      <c r="E10" s="7" t="n">
        <f aca="false">Tex_table_comparison!E73</f>
        <v>6</v>
      </c>
      <c r="F10" s="0" t="str">
        <f aca="false">Tex_table_comparison!F73</f>
        <v>&amp;</v>
      </c>
      <c r="G10" s="0" t="str">
        <f aca="false">Tex_table_comparison!G73</f>
        <v>\textcolor{OliveGreen}{</v>
      </c>
      <c r="H10" s="19" t="n">
        <f aca="false">Tex_table_comparison!H73</f>
        <v>0</v>
      </c>
      <c r="I10" s="0" t="str">
        <f aca="false">Tex_table_comparison!I73</f>
        <v>}\\</v>
      </c>
    </row>
    <row r="11" customFormat="false" ht="15" hidden="false" customHeight="false" outlineLevel="0" collapsed="false">
      <c r="A11" s="0" t="str">
        <f aca="false">Tex_table_comparison!A74</f>
        <v>Intel Max. freq (MHz)</v>
      </c>
      <c r="B11" s="0" t="str">
        <f aca="false">Tex_table_comparison!B74</f>
        <v>&amp;</v>
      </c>
      <c r="C11" s="7" t="n">
        <f aca="false">Tex_table_comparison!C74</f>
        <v>191.09</v>
      </c>
      <c r="D11" s="7" t="str">
        <f aca="false">Tex_table_comparison!D74</f>
        <v>&amp;</v>
      </c>
      <c r="E11" s="7" t="n">
        <f aca="false">Tex_table_comparison!E74</f>
        <v>193.57</v>
      </c>
      <c r="F11" s="0" t="str">
        <f aca="false">Tex_table_comparison!F74</f>
        <v>&amp;</v>
      </c>
      <c r="G11" s="0" t="str">
        <f aca="false">Tex_table_comparison!G74</f>
        <v>\textcolor{OliveGreen}{+</v>
      </c>
      <c r="H11" s="19" t="n">
        <f aca="false">Tex_table_comparison!H74</f>
        <v>0.0129781778219687</v>
      </c>
      <c r="I11" s="0" t="str">
        <f aca="false">Tex_table_comparison!I74</f>
        <v>}\\</v>
      </c>
    </row>
    <row r="12" customFormat="false" ht="15" hidden="false" customHeight="false" outlineLevel="0" collapsed="false">
      <c r="A12" s="0" t="str">
        <f aca="false">Tex_table_comparison!A75</f>
        <v>Enc time</v>
      </c>
      <c r="B12" s="0" t="str">
        <f aca="false">Tex_table_comparison!B75</f>
        <v>&amp;</v>
      </c>
      <c r="C12" s="8" t="n">
        <f aca="false">Tex_table_comparison!C75</f>
        <v>15.6470772934219</v>
      </c>
      <c r="D12" s="8" t="str">
        <f aca="false">Tex_table_comparison!D75</f>
        <v>&amp;</v>
      </c>
      <c r="E12" s="8" t="n">
        <f aca="false">Tex_table_comparison!E75</f>
        <v>12.5174355530299</v>
      </c>
      <c r="F12" s="0" t="str">
        <f aca="false">Tex_table_comparison!F75</f>
        <v>&amp;</v>
      </c>
      <c r="G12" s="0" t="str">
        <f aca="false">Tex_table_comparison!G75</f>
        <v>\textcolor{OliveGreen}{</v>
      </c>
      <c r="H12" s="19" t="n">
        <f aca="false">Tex_table_comparison!H75</f>
        <v>-0.200014461595824</v>
      </c>
      <c r="I12" s="0" t="str">
        <f aca="false">Tex_table_comparison!I75</f>
        <v>}\\</v>
      </c>
    </row>
    <row r="13" customFormat="false" ht="15" hidden="false" customHeight="false" outlineLevel="0" collapsed="false">
      <c r="A13" s="0" t="str">
        <f aca="false">Tex_table_comparison!A76</f>
        <v>Dec time</v>
      </c>
      <c r="B13" s="0" t="str">
        <f aca="false">Tex_table_comparison!B76</f>
        <v>&amp;</v>
      </c>
      <c r="C13" s="8" t="n">
        <f aca="false">Tex_table_comparison!C76</f>
        <v>21.2622324559108</v>
      </c>
      <c r="D13" s="8" t="str">
        <f aca="false">Tex_table_comparison!D76</f>
        <v>&amp;</v>
      </c>
      <c r="E13" s="8" t="n">
        <f aca="false">Tex_table_comparison!E76</f>
        <v>17.5388748256445</v>
      </c>
      <c r="F13" s="0" t="str">
        <f aca="false">Tex_table_comparison!F76</f>
        <v>&amp;</v>
      </c>
      <c r="G13" s="0" t="str">
        <f aca="false">Tex_table_comparison!G76</f>
        <v>\textcolor{OliveGreen}{</v>
      </c>
      <c r="H13" s="19" t="n">
        <f aca="false">Tex_table_comparison!H76</f>
        <v>-0.175116024998178</v>
      </c>
      <c r="I13" s="0" t="str">
        <f aca="false">Tex_table_comparison!I76</f>
        <v>}\\</v>
      </c>
    </row>
    <row r="14" s="12" customFormat="true" ht="15" hidden="false" customHeight="false" outlineLevel="0" collapsed="false">
      <c r="A14" s="12" t="str">
        <f aca="false">Tex_table_comparison!A77</f>
        <v>Parameter set</v>
      </c>
      <c r="B14" s="12" t="str">
        <f aca="false">Tex_table_comparison!B77</f>
        <v>&amp;</v>
      </c>
      <c r="C14" s="10" t="str">
        <f aca="false">Tex_table_comparison!C77</f>
        <v>3PKE_0d</v>
      </c>
      <c r="D14" s="10" t="str">
        <f aca="false">Tex_table_comparison!D77</f>
        <v>&amp;</v>
      </c>
      <c r="E14" s="10" t="str">
        <f aca="false">Tex_table_comparison!E77</f>
        <v>3PKE_5d</v>
      </c>
      <c r="F14" s="12" t="str">
        <f aca="false">Tex_table_comparison!F77</f>
        <v>&amp;</v>
      </c>
      <c r="H14" s="20"/>
      <c r="I14" s="12" t="s">
        <v>114</v>
      </c>
    </row>
    <row r="15" customFormat="false" ht="15" hidden="false" customHeight="false" outlineLevel="0" collapsed="false">
      <c r="A15" s="0" t="str">
        <f aca="false">Tex_table_comparison!A78</f>
        <v>Poly degree*</v>
      </c>
      <c r="B15" s="0" t="str">
        <f aca="false">Tex_table_comparison!B78</f>
        <v>&amp;</v>
      </c>
      <c r="C15" s="7" t="n">
        <f aca="false">Tex_table_comparison!C78</f>
        <v>852</v>
      </c>
      <c r="D15" s="7" t="str">
        <f aca="false">Tex_table_comparison!D78</f>
        <v>&amp;</v>
      </c>
      <c r="E15" s="7" t="n">
        <f aca="false">Tex_table_comparison!E78</f>
        <v>756</v>
      </c>
      <c r="F15" s="0" t="str">
        <f aca="false">Tex_table_comparison!F78</f>
        <v>&amp;</v>
      </c>
      <c r="G15" s="0" t="str">
        <f aca="false">Tex_table_comparison!G78</f>
        <v>\textcolor{OliveGreen}{</v>
      </c>
      <c r="H15" s="19" t="n">
        <f aca="false">Tex_table_comparison!H78</f>
        <v>-0.112676056338028</v>
      </c>
      <c r="I15" s="0" t="str">
        <f aca="false">Tex_table_comparison!I78</f>
        <v>}\\</v>
      </c>
    </row>
    <row r="16" customFormat="false" ht="15" hidden="false" customHeight="false" outlineLevel="0" collapsed="false">
      <c r="A16" s="0" t="str">
        <f aca="false">Tex_table_comparison!A79</f>
        <v>PK size$^*$</v>
      </c>
      <c r="B16" s="0" t="str">
        <f aca="false">Tex_table_comparison!B79</f>
        <v>&amp;</v>
      </c>
      <c r="C16" s="7" t="n">
        <f aca="false">Tex_table_comparison!C79</f>
        <v>983</v>
      </c>
      <c r="D16" s="7" t="str">
        <f aca="false">Tex_table_comparison!D79</f>
        <v>&amp;</v>
      </c>
      <c r="E16" s="7" t="n">
        <f aca="false">Tex_table_comparison!E79</f>
        <v>780</v>
      </c>
      <c r="F16" s="0" t="str">
        <f aca="false">Tex_table_comparison!F79</f>
        <v>&amp;</v>
      </c>
      <c r="G16" s="0" t="str">
        <f aca="false">Tex_table_comparison!G79</f>
        <v>\textcolor{OliveGreen}{</v>
      </c>
      <c r="H16" s="19" t="n">
        <f aca="false">Tex_table_comparison!H79</f>
        <v>-0.206510681586979</v>
      </c>
      <c r="I16" s="0" t="str">
        <f aca="false">Tex_table_comparison!I79</f>
        <v>}\\</v>
      </c>
    </row>
    <row r="17" customFormat="false" ht="15" hidden="false" customHeight="false" outlineLevel="0" collapsed="false">
      <c r="A17" s="0" t="str">
        <f aca="false">Tex_table_comparison!A80</f>
        <v>SK size$^*$</v>
      </c>
      <c r="B17" s="0" t="str">
        <f aca="false">Tex_table_comparison!B80</f>
        <v>&amp;</v>
      </c>
      <c r="C17" s="7" t="n">
        <f aca="false">Tex_table_comparison!C80</f>
        <v>1031</v>
      </c>
      <c r="D17" s="7" t="str">
        <f aca="false">Tex_table_comparison!D80</f>
        <v>&amp;</v>
      </c>
      <c r="E17" s="7" t="n">
        <f aca="false">Tex_table_comparison!E80</f>
        <v>828</v>
      </c>
      <c r="F17" s="0" t="str">
        <f aca="false">Tex_table_comparison!F80</f>
        <v>&amp;</v>
      </c>
      <c r="G17" s="0" t="str">
        <f aca="false">Tex_table_comparison!G80</f>
        <v>\textcolor{OliveGreen}{</v>
      </c>
      <c r="H17" s="19" t="n">
        <f aca="false">Tex_table_comparison!H80</f>
        <v>-0.196896217264791</v>
      </c>
      <c r="I17" s="0" t="str">
        <f aca="false">Tex_table_comparison!I80</f>
        <v>}\\</v>
      </c>
    </row>
    <row r="18" customFormat="false" ht="15" hidden="false" customHeight="false" outlineLevel="0" collapsed="false">
      <c r="A18" s="0" t="str">
        <f aca="false">Tex_table_comparison!A81</f>
        <v>CT size$^*$</v>
      </c>
      <c r="B18" s="0" t="str">
        <f aca="false">Tex_table_comparison!B81</f>
        <v>&amp;</v>
      </c>
      <c r="C18" s="7" t="n">
        <f aca="false">Tex_table_comparison!C81</f>
        <v>1119</v>
      </c>
      <c r="D18" s="7" t="str">
        <f aca="false">Tex_table_comparison!D81</f>
        <v>&amp;</v>
      </c>
      <c r="E18" s="7" t="n">
        <f aca="false">Tex_table_comparison!E81</f>
        <v>950</v>
      </c>
      <c r="F18" s="0" t="str">
        <f aca="false">Tex_table_comparison!F81</f>
        <v>&amp;</v>
      </c>
      <c r="G18" s="0" t="str">
        <f aca="false">Tex_table_comparison!G81</f>
        <v>\textcolor{OliveGreen}{</v>
      </c>
      <c r="H18" s="19" t="n">
        <f aca="false">Tex_table_comparison!H81</f>
        <v>-0.151027703306524</v>
      </c>
      <c r="I18" s="0" t="str">
        <f aca="false">Tex_table_comparison!I81</f>
        <v>}\\</v>
      </c>
    </row>
    <row r="19" customFormat="false" ht="15" hidden="false" customHeight="false" outlineLevel="0" collapsed="false">
      <c r="A19" s="0" t="str">
        <f aca="false">Tex_table_comparison!A82</f>
        <v>Enc latency$^{**}$</v>
      </c>
      <c r="B19" s="0" t="str">
        <f aca="false">Tex_table_comparison!B82</f>
        <v>&amp;</v>
      </c>
      <c r="C19" s="7" t="n">
        <f aca="false">Tex_table_comparison!C82</f>
        <v>4248</v>
      </c>
      <c r="D19" s="7" t="str">
        <f aca="false">Tex_table_comparison!D82</f>
        <v>&amp;</v>
      </c>
      <c r="E19" s="7" t="n">
        <f aca="false">Tex_table_comparison!E82</f>
        <v>3650</v>
      </c>
      <c r="F19" s="0" t="str">
        <f aca="false">Tex_table_comparison!F82</f>
        <v>&amp;</v>
      </c>
      <c r="G19" s="0" t="str">
        <f aca="false">Tex_table_comparison!G82</f>
        <v>\textcolor{OliveGreen}{</v>
      </c>
      <c r="H19" s="19" t="n">
        <f aca="false">Tex_table_comparison!H82</f>
        <v>-0.140772128060264</v>
      </c>
      <c r="I19" s="0" t="str">
        <f aca="false">Tex_table_comparison!I82</f>
        <v>}\\</v>
      </c>
    </row>
    <row r="20" customFormat="false" ht="15" hidden="false" customHeight="false" outlineLevel="0" collapsed="false">
      <c r="A20" s="0" t="str">
        <f aca="false">Tex_table_comparison!A83</f>
        <v>Dec latency$^{**}$</v>
      </c>
      <c r="B20" s="0" t="str">
        <f aca="false">Tex_table_comparison!B83</f>
        <v>&amp;</v>
      </c>
      <c r="C20" s="7" t="n">
        <f aca="false">Tex_table_comparison!C83</f>
        <v>5839</v>
      </c>
      <c r="D20" s="7" t="str">
        <f aca="false">Tex_table_comparison!D83</f>
        <v>&amp;</v>
      </c>
      <c r="E20" s="7" t="n">
        <f aca="false">Tex_table_comparison!E83</f>
        <v>5076</v>
      </c>
      <c r="F20" s="0" t="str">
        <f aca="false">Tex_table_comparison!F83</f>
        <v>&amp;</v>
      </c>
      <c r="G20" s="0" t="str">
        <f aca="false">Tex_table_comparison!G83</f>
        <v>\textcolor{OliveGreen}{</v>
      </c>
      <c r="H20" s="19" t="n">
        <f aca="false">Tex_table_comparison!H83</f>
        <v>-0.130673060455557</v>
      </c>
      <c r="I20" s="0" t="str">
        <f aca="false">Tex_table_comparison!I83</f>
        <v>}\\</v>
      </c>
      <c r="J20" s="0" t="s">
        <v>120</v>
      </c>
    </row>
    <row r="21" customFormat="false" ht="15" hidden="false" customHeight="false" outlineLevel="0" collapsed="false">
      <c r="A21" s="0" t="str">
        <f aca="false">Tex_table_comparison!A90</f>
        <v>Intel ALM’s</v>
      </c>
      <c r="B21" s="0" t="str">
        <f aca="false">Tex_table_comparison!B90</f>
        <v>&amp;</v>
      </c>
      <c r="C21" s="7" t="n">
        <f aca="false">Tex_table_comparison!C90</f>
        <v>48029</v>
      </c>
      <c r="D21" s="7" t="str">
        <f aca="false">Tex_table_comparison!D90</f>
        <v>&amp;</v>
      </c>
      <c r="E21" s="7" t="n">
        <f aca="false">Tex_table_comparison!E90</f>
        <v>43014</v>
      </c>
      <c r="F21" s="0" t="str">
        <f aca="false">Tex_table_comparison!F90</f>
        <v>&amp;</v>
      </c>
      <c r="G21" s="0" t="str">
        <f aca="false">Tex_table_comparison!G90</f>
        <v>\textcolor{OliveGreen}{</v>
      </c>
      <c r="H21" s="19" t="n">
        <f aca="false">Tex_table_comparison!H90</f>
        <v>-0.104416081950488</v>
      </c>
      <c r="I21" s="0" t="str">
        <f aca="false">Tex_table_comparison!I90</f>
        <v>}\\</v>
      </c>
    </row>
    <row r="22" customFormat="false" ht="15" hidden="false" customHeight="false" outlineLevel="0" collapsed="false">
      <c r="A22" s="0" t="str">
        <f aca="false">Tex_table_comparison!A91</f>
        <v>Intel Registers</v>
      </c>
      <c r="B22" s="0" t="str">
        <f aca="false">Tex_table_comparison!B91</f>
        <v>&amp;</v>
      </c>
      <c r="C22" s="7" t="n">
        <f aca="false">Tex_table_comparison!C91</f>
        <v>108844</v>
      </c>
      <c r="D22" s="7" t="str">
        <f aca="false">Tex_table_comparison!D91</f>
        <v>&amp;</v>
      </c>
      <c r="E22" s="7" t="n">
        <f aca="false">Tex_table_comparison!E91</f>
        <v>96859</v>
      </c>
      <c r="F22" s="0" t="str">
        <f aca="false">Tex_table_comparison!F91</f>
        <v>&amp;</v>
      </c>
      <c r="G22" s="0" t="str">
        <f aca="false">Tex_table_comparison!G91</f>
        <v>\textcolor{OliveGreen}{</v>
      </c>
      <c r="H22" s="19" t="n">
        <f aca="false">Tex_table_comparison!H91</f>
        <v>-0.110111719525192</v>
      </c>
      <c r="I22" s="0" t="str">
        <f aca="false">Tex_table_comparison!I91</f>
        <v>}\\</v>
      </c>
    </row>
    <row r="23" customFormat="false" ht="15" hidden="false" customHeight="false" outlineLevel="0" collapsed="false">
      <c r="A23" s="0" t="str">
        <f aca="false">Tex_table_comparison!A92</f>
        <v>Intel BRAM’s</v>
      </c>
      <c r="B23" s="0" t="str">
        <f aca="false">Tex_table_comparison!B92</f>
        <v>&amp;</v>
      </c>
      <c r="C23" s="7" t="n">
        <f aca="false">Tex_table_comparison!C92</f>
        <v>6</v>
      </c>
      <c r="D23" s="7" t="str">
        <f aca="false">Tex_table_comparison!D92</f>
        <v>&amp;</v>
      </c>
      <c r="E23" s="7" t="n">
        <f aca="false">Tex_table_comparison!E92</f>
        <v>6</v>
      </c>
      <c r="F23" s="0" t="str">
        <f aca="false">Tex_table_comparison!F92</f>
        <v>&amp;</v>
      </c>
      <c r="G23" s="0" t="str">
        <f aca="false">Tex_table_comparison!G92</f>
        <v>\textcolor{OliveGreen}{</v>
      </c>
      <c r="H23" s="19" t="n">
        <f aca="false">Tex_table_comparison!H92</f>
        <v>0</v>
      </c>
      <c r="I23" s="0" t="str">
        <f aca="false">Tex_table_comparison!I92</f>
        <v>}\\</v>
      </c>
    </row>
    <row r="24" customFormat="false" ht="15" hidden="false" customHeight="false" outlineLevel="0" collapsed="false">
      <c r="A24" s="0" t="str">
        <f aca="false">Tex_table_comparison!A93</f>
        <v>Intel Max. freq (MHz)</v>
      </c>
      <c r="B24" s="0" t="str">
        <f aca="false">Tex_table_comparison!B93</f>
        <v>&amp;</v>
      </c>
      <c r="C24" s="7" t="n">
        <f aca="false">Tex_table_comparison!C93</f>
        <v>194.7</v>
      </c>
      <c r="D24" s="7" t="str">
        <f aca="false">Tex_table_comparison!D93</f>
        <v>&amp;</v>
      </c>
      <c r="E24" s="7" t="n">
        <f aca="false">Tex_table_comparison!E93</f>
        <v>189.83</v>
      </c>
      <c r="F24" s="0" t="str">
        <f aca="false">Tex_table_comparison!F93</f>
        <v>&amp;</v>
      </c>
      <c r="G24" s="0" t="str">
        <f aca="false">Tex_table_comparison!G93</f>
        <v>\textcolor{red}{</v>
      </c>
      <c r="H24" s="19" t="n">
        <f aca="false">Tex_table_comparison!H93</f>
        <v>-0.0250128402670774</v>
      </c>
      <c r="I24" s="0" t="str">
        <f aca="false">Tex_table_comparison!I93</f>
        <v>}\\</v>
      </c>
    </row>
    <row r="25" customFormat="false" ht="15" hidden="false" customHeight="false" outlineLevel="0" collapsed="false">
      <c r="A25" s="0" t="str">
        <f aca="false">Tex_table_comparison!A94</f>
        <v>Enc time</v>
      </c>
      <c r="B25" s="0" t="str">
        <f aca="false">Tex_table_comparison!B94</f>
        <v>&amp;</v>
      </c>
      <c r="C25" s="8" t="n">
        <f aca="false">Tex_table_comparison!C94</f>
        <v>21.8181818181818</v>
      </c>
      <c r="D25" s="8" t="str">
        <f aca="false">Tex_table_comparison!D94</f>
        <v>&amp;</v>
      </c>
      <c r="E25" s="8" t="n">
        <f aca="false">Tex_table_comparison!E94</f>
        <v>19.227730074277</v>
      </c>
      <c r="F25" s="0" t="str">
        <f aca="false">Tex_table_comparison!F94</f>
        <v>&amp;</v>
      </c>
      <c r="G25" s="0" t="str">
        <f aca="false">Tex_table_comparison!G94</f>
        <v>\textcolor{OliveGreen}{</v>
      </c>
      <c r="H25" s="19" t="n">
        <f aca="false">Tex_table_comparison!H94</f>
        <v>-0.118729038262305</v>
      </c>
      <c r="I25" s="0" t="str">
        <f aca="false">Tex_table_comparison!I94</f>
        <v>}\\</v>
      </c>
    </row>
    <row r="26" customFormat="false" ht="15" hidden="false" customHeight="false" outlineLevel="0" collapsed="false">
      <c r="A26" s="0" t="str">
        <f aca="false">Tex_table_comparison!A95</f>
        <v>Dec time</v>
      </c>
      <c r="B26" s="0" t="str">
        <f aca="false">Tex_table_comparison!B95</f>
        <v>&amp;</v>
      </c>
      <c r="C26" s="8" t="n">
        <f aca="false">Tex_table_comparison!C95</f>
        <v>29.989727786338</v>
      </c>
      <c r="D26" s="8" t="str">
        <f aca="false">Tex_table_comparison!D95</f>
        <v>&amp;</v>
      </c>
      <c r="E26" s="8" t="n">
        <f aca="false">Tex_table_comparison!E95</f>
        <v>26.7397144813781</v>
      </c>
      <c r="F26" s="0" t="str">
        <f aca="false">Tex_table_comparison!F95</f>
        <v>&amp;</v>
      </c>
      <c r="G26" s="0" t="str">
        <f aca="false">Tex_table_comparison!G95</f>
        <v>\textcolor{OliveGreen}{</v>
      </c>
      <c r="H26" s="19" t="n">
        <f aca="false">Tex_table_comparison!H95</f>
        <v>-0.108370883794432</v>
      </c>
      <c r="I26" s="0" t="str">
        <f aca="false">Tex_table_comparison!I95</f>
        <v>}\\</v>
      </c>
    </row>
    <row r="27" s="12" customFormat="true" ht="15" hidden="false" customHeight="false" outlineLevel="0" collapsed="false">
      <c r="A27" s="12" t="str">
        <f aca="false">Tex_table_comparison!A96</f>
        <v>Parameter set</v>
      </c>
      <c r="B27" s="12" t="str">
        <f aca="false">Tex_table_comparison!B96</f>
        <v>&amp;</v>
      </c>
      <c r="C27" s="10" t="str">
        <f aca="false">Tex_table_comparison!C96</f>
        <v>5PKE_0d</v>
      </c>
      <c r="D27" s="10" t="str">
        <f aca="false">Tex_table_comparison!D96</f>
        <v>&amp;</v>
      </c>
      <c r="E27" s="10" t="str">
        <f aca="false">Tex_table_comparison!E96</f>
        <v>5PKE_5d</v>
      </c>
      <c r="F27" s="12" t="str">
        <f aca="false">Tex_table_comparison!F96</f>
        <v>&amp;</v>
      </c>
      <c r="H27" s="20"/>
      <c r="I27" s="12" t="s">
        <v>114</v>
      </c>
    </row>
    <row r="28" customFormat="false" ht="15" hidden="false" customHeight="false" outlineLevel="0" collapsed="false">
      <c r="A28" s="0" t="str">
        <f aca="false">Tex_table_comparison!A97</f>
        <v>Poly degree*</v>
      </c>
      <c r="B28" s="0" t="str">
        <f aca="false">Tex_table_comparison!B97</f>
        <v>&amp;</v>
      </c>
      <c r="C28" s="7" t="n">
        <f aca="false">Tex_table_comparison!C97</f>
        <v>1170</v>
      </c>
      <c r="D28" s="7" t="str">
        <f aca="false">Tex_table_comparison!D97</f>
        <v>&amp;</v>
      </c>
      <c r="E28" s="7" t="n">
        <f aca="false">Tex_table_comparison!E97</f>
        <v>946</v>
      </c>
      <c r="F28" s="0" t="str">
        <f aca="false">Tex_table_comparison!F97</f>
        <v>&amp;</v>
      </c>
      <c r="G28" s="0" t="str">
        <f aca="false">Tex_table_comparison!G97</f>
        <v>\textcolor{OliveGreen}{</v>
      </c>
      <c r="H28" s="19" t="n">
        <f aca="false">Tex_table_comparison!H97</f>
        <v>-0.191452991452991</v>
      </c>
      <c r="I28" s="0" t="str">
        <f aca="false">Tex_table_comparison!I97</f>
        <v>}\\</v>
      </c>
    </row>
    <row r="29" customFormat="false" ht="15" hidden="false" customHeight="false" outlineLevel="0" collapsed="false">
      <c r="A29" s="0" t="str">
        <f aca="false">Tex_table_comparison!A98</f>
        <v>PK size$^*$</v>
      </c>
      <c r="B29" s="0" t="str">
        <f aca="false">Tex_table_comparison!B98</f>
        <v>&amp;</v>
      </c>
      <c r="C29" s="7" t="n">
        <f aca="false">Tex_table_comparison!C98</f>
        <v>1349</v>
      </c>
      <c r="D29" s="7" t="str">
        <f aca="false">Tex_table_comparison!D98</f>
        <v>&amp;</v>
      </c>
      <c r="E29" s="7" t="n">
        <f aca="false">Tex_table_comparison!E98</f>
        <v>978</v>
      </c>
      <c r="F29" s="0" t="str">
        <f aca="false">Tex_table_comparison!F98</f>
        <v>&amp;</v>
      </c>
      <c r="G29" s="0" t="str">
        <f aca="false">Tex_table_comparison!G98</f>
        <v>\textcolor{OliveGreen}{</v>
      </c>
      <c r="H29" s="19" t="n">
        <f aca="false">Tex_table_comparison!H98</f>
        <v>-0.275018532246108</v>
      </c>
      <c r="I29" s="0" t="str">
        <f aca="false">Tex_table_comparison!I98</f>
        <v>}\\</v>
      </c>
    </row>
    <row r="30" customFormat="false" ht="15" hidden="false" customHeight="false" outlineLevel="0" collapsed="false">
      <c r="A30" s="0" t="str">
        <f aca="false">Tex_table_comparison!A99</f>
        <v>SK size$^*$</v>
      </c>
      <c r="B30" s="0" t="str">
        <f aca="false">Tex_table_comparison!B99</f>
        <v>&amp;</v>
      </c>
      <c r="C30" s="7" t="n">
        <f aca="false">Tex_table_comparison!C99</f>
        <v>1413</v>
      </c>
      <c r="D30" s="7" t="str">
        <f aca="false">Tex_table_comparison!D99</f>
        <v>&amp;</v>
      </c>
      <c r="E30" s="7" t="n">
        <f aca="false">Tex_table_comparison!E99</f>
        <v>1042</v>
      </c>
      <c r="F30" s="0" t="str">
        <f aca="false">Tex_table_comparison!F99</f>
        <v>&amp;</v>
      </c>
      <c r="G30" s="0" t="str">
        <f aca="false">Tex_table_comparison!G99</f>
        <v>\textcolor{OliveGreen}{</v>
      </c>
      <c r="H30" s="19" t="n">
        <f aca="false">Tex_table_comparison!H99</f>
        <v>-0.262561924982307</v>
      </c>
      <c r="I30" s="0" t="str">
        <f aca="false">Tex_table_comparison!I99</f>
        <v>}\\</v>
      </c>
    </row>
    <row r="31" customFormat="false" ht="15" hidden="false" customHeight="false" outlineLevel="0" collapsed="false">
      <c r="A31" s="0" t="str">
        <f aca="false">Tex_table_comparison!A100</f>
        <v>CT size$^*$</v>
      </c>
      <c r="B31" s="0" t="str">
        <f aca="false">Tex_table_comparison!B100</f>
        <v>&amp;</v>
      </c>
      <c r="C31" s="7" t="n">
        <f aca="false">Tex_table_comparison!C100</f>
        <v>1525</v>
      </c>
      <c r="D31" s="7" t="str">
        <f aca="false">Tex_table_comparison!D100</f>
        <v>&amp;</v>
      </c>
      <c r="E31" s="7" t="n">
        <f aca="false">Tex_table_comparison!E100</f>
        <v>1301</v>
      </c>
      <c r="F31" s="0" t="str">
        <f aca="false">Tex_table_comparison!F100</f>
        <v>&amp;</v>
      </c>
      <c r="G31" s="0" t="str">
        <f aca="false">Tex_table_comparison!G100</f>
        <v>\textcolor{OliveGreen}{</v>
      </c>
      <c r="H31" s="19" t="n">
        <f aca="false">Tex_table_comparison!H100</f>
        <v>-0.146885245901639</v>
      </c>
      <c r="I31" s="0" t="str">
        <f aca="false">Tex_table_comparison!I100</f>
        <v>}\\</v>
      </c>
    </row>
    <row r="32" customFormat="false" ht="15" hidden="false" customHeight="false" outlineLevel="0" collapsed="false">
      <c r="A32" s="0" t="str">
        <f aca="false">Tex_table_comparison!A101</f>
        <v>Enc latency$^{**}$</v>
      </c>
      <c r="B32" s="0" t="str">
        <f aca="false">Tex_table_comparison!B101</f>
        <v>&amp;</v>
      </c>
      <c r="C32" s="7" t="n">
        <f aca="false">Tex_table_comparison!C101</f>
        <v>5836</v>
      </c>
      <c r="D32" s="7" t="str">
        <f aca="false">Tex_table_comparison!D101</f>
        <v>&amp;</v>
      </c>
      <c r="E32" s="7" t="n">
        <f aca="false">Tex_table_comparison!E101</f>
        <v>4509</v>
      </c>
      <c r="F32" s="0" t="str">
        <f aca="false">Tex_table_comparison!F101</f>
        <v>&amp;</v>
      </c>
      <c r="G32" s="0" t="str">
        <f aca="false">Tex_table_comparison!G101</f>
        <v>\textcolor{OliveGreen}{</v>
      </c>
      <c r="H32" s="19" t="n">
        <f aca="false">Tex_table_comparison!H101</f>
        <v>-0.227381768334476</v>
      </c>
      <c r="I32" s="0" t="str">
        <f aca="false">Tex_table_comparison!I101</f>
        <v>}\\</v>
      </c>
    </row>
    <row r="33" customFormat="false" ht="15" hidden="false" customHeight="false" outlineLevel="0" collapsed="false">
      <c r="A33" s="0" t="str">
        <f aca="false">Tex_table_comparison!A102</f>
        <v>Dec latency$^{**}$</v>
      </c>
      <c r="B33" s="0" t="str">
        <f aca="false">Tex_table_comparison!B102</f>
        <v>&amp;</v>
      </c>
      <c r="C33" s="7" t="n">
        <f aca="false">Tex_table_comparison!C102</f>
        <v>7999</v>
      </c>
      <c r="D33" s="7" t="str">
        <f aca="false">Tex_table_comparison!D102</f>
        <v>&amp;</v>
      </c>
      <c r="E33" s="7" t="n">
        <f aca="false">Tex_table_comparison!E102</f>
        <v>6301</v>
      </c>
      <c r="F33" s="0" t="str">
        <f aca="false">Tex_table_comparison!F102</f>
        <v>&amp;</v>
      </c>
      <c r="G33" s="0" t="str">
        <f aca="false">Tex_table_comparison!G102</f>
        <v>\textcolor{OliveGreen}{</v>
      </c>
      <c r="H33" s="19" t="n">
        <f aca="false">Tex_table_comparison!H102</f>
        <v>-0.212276534566821</v>
      </c>
      <c r="I33" s="0" t="str">
        <f aca="false">Tex_table_comparison!I102</f>
        <v>}\\</v>
      </c>
      <c r="J33" s="0" t="s">
        <v>120</v>
      </c>
    </row>
    <row r="34" customFormat="false" ht="15" hidden="false" customHeight="false" outlineLevel="0" collapsed="false">
      <c r="A34" s="0" t="str">
        <f aca="false">Tex_table_comparison!A109</f>
        <v>Intel ALM’s</v>
      </c>
      <c r="B34" s="0" t="str">
        <f aca="false">Tex_table_comparison!B109</f>
        <v>&amp;</v>
      </c>
      <c r="C34" s="7" t="n">
        <f aca="false">Tex_table_comparison!C109</f>
        <v>69727</v>
      </c>
      <c r="D34" s="7" t="str">
        <f aca="false">Tex_table_comparison!D109</f>
        <v>&amp;</v>
      </c>
      <c r="E34" s="7" t="n">
        <f aca="false">Tex_table_comparison!E109</f>
        <v>50373</v>
      </c>
      <c r="F34" s="0" t="str">
        <f aca="false">Tex_table_comparison!F109</f>
        <v>&amp;</v>
      </c>
      <c r="G34" s="0" t="str">
        <f aca="false">Tex_table_comparison!G109</f>
        <v>\textcolor{OliveGreen}{</v>
      </c>
      <c r="H34" s="19" t="n">
        <f aca="false">Tex_table_comparison!H109</f>
        <v>-0.277568230384213</v>
      </c>
      <c r="I34" s="0" t="str">
        <f aca="false">Tex_table_comparison!I109</f>
        <v>}\\</v>
      </c>
    </row>
    <row r="35" customFormat="false" ht="15" hidden="false" customHeight="false" outlineLevel="0" collapsed="false">
      <c r="A35" s="0" t="str">
        <f aca="false">Tex_table_comparison!A110</f>
        <v>Intel Registers</v>
      </c>
      <c r="B35" s="0" t="str">
        <f aca="false">Tex_table_comparison!B110</f>
        <v>&amp;</v>
      </c>
      <c r="C35" s="7" t="n">
        <f aca="false">Tex_table_comparison!C110</f>
        <v>157660</v>
      </c>
      <c r="D35" s="7" t="str">
        <f aca="false">Tex_table_comparison!D110</f>
        <v>&amp;</v>
      </c>
      <c r="E35" s="7" t="n">
        <f aca="false">Tex_table_comparison!E110</f>
        <v>112311</v>
      </c>
      <c r="F35" s="0" t="str">
        <f aca="false">Tex_table_comparison!F110</f>
        <v>&amp;</v>
      </c>
      <c r="G35" s="0" t="str">
        <f aca="false">Tex_table_comparison!G110</f>
        <v>\textcolor{OliveGreen}{</v>
      </c>
      <c r="H35" s="19" t="n">
        <f aca="false">Tex_table_comparison!H110</f>
        <v>-0.287637955093239</v>
      </c>
      <c r="I35" s="0" t="str">
        <f aca="false">Tex_table_comparison!I110</f>
        <v>}\\</v>
      </c>
    </row>
    <row r="36" customFormat="false" ht="15" hidden="false" customHeight="false" outlineLevel="0" collapsed="false">
      <c r="A36" s="0" t="str">
        <f aca="false">Tex_table_comparison!A111</f>
        <v>Intel BRAM’s</v>
      </c>
      <c r="B36" s="0" t="str">
        <f aca="false">Tex_table_comparison!B111</f>
        <v>&amp;</v>
      </c>
      <c r="C36" s="7" t="n">
        <f aca="false">Tex_table_comparison!C111</f>
        <v>6</v>
      </c>
      <c r="D36" s="7" t="str">
        <f aca="false">Tex_table_comparison!D111</f>
        <v>&amp;</v>
      </c>
      <c r="E36" s="7" t="n">
        <f aca="false">Tex_table_comparison!E111</f>
        <v>6</v>
      </c>
      <c r="F36" s="0" t="str">
        <f aca="false">Tex_table_comparison!F111</f>
        <v>&amp;</v>
      </c>
      <c r="G36" s="0" t="str">
        <f aca="false">Tex_table_comparison!G111</f>
        <v>\textcolor{OliveGreen}{</v>
      </c>
      <c r="H36" s="19" t="n">
        <f aca="false">Tex_table_comparison!H111</f>
        <v>0</v>
      </c>
      <c r="I36" s="0" t="str">
        <f aca="false">Tex_table_comparison!I111</f>
        <v>}\\</v>
      </c>
    </row>
    <row r="37" customFormat="false" ht="15" hidden="false" customHeight="false" outlineLevel="0" collapsed="false">
      <c r="A37" s="0" t="str">
        <f aca="false">Tex_table_comparison!A112</f>
        <v>Intel Max. freq (MHz)</v>
      </c>
      <c r="B37" s="0" t="str">
        <f aca="false">Tex_table_comparison!B112</f>
        <v>&amp;</v>
      </c>
      <c r="C37" s="7" t="n">
        <f aca="false">Tex_table_comparison!C112</f>
        <v>187.55</v>
      </c>
      <c r="D37" s="7" t="str">
        <f aca="false">Tex_table_comparison!D112</f>
        <v>&amp;</v>
      </c>
      <c r="E37" s="7" t="n">
        <f aca="false">Tex_table_comparison!E112</f>
        <v>197.23</v>
      </c>
      <c r="F37" s="0" t="str">
        <f aca="false">Tex_table_comparison!F112</f>
        <v>&amp;</v>
      </c>
      <c r="G37" s="0" t="str">
        <f aca="false">Tex_table_comparison!G112</f>
        <v>\textcolor{OliveGreen}{+</v>
      </c>
      <c r="H37" s="19" t="n">
        <f aca="false">Tex_table_comparison!H112</f>
        <v>0.0516129032258063</v>
      </c>
      <c r="I37" s="0" t="str">
        <f aca="false">Tex_table_comparison!I112</f>
        <v>}\\</v>
      </c>
    </row>
    <row r="38" customFormat="false" ht="15" hidden="false" customHeight="false" outlineLevel="0" collapsed="false">
      <c r="A38" s="0" t="str">
        <f aca="false">Tex_table_comparison!A113</f>
        <v>Enc time</v>
      </c>
      <c r="B38" s="0" t="str">
        <f aca="false">Tex_table_comparison!B113</f>
        <v>&amp;</v>
      </c>
      <c r="C38" s="8" t="n">
        <f aca="false">Tex_table_comparison!C113</f>
        <v>31.1170354572114</v>
      </c>
      <c r="D38" s="8" t="str">
        <f aca="false">Tex_table_comparison!D113</f>
        <v>&amp;</v>
      </c>
      <c r="E38" s="8" t="n">
        <f aca="false">Tex_table_comparison!E113</f>
        <v>22.8616336257162</v>
      </c>
      <c r="F38" s="0" t="str">
        <f aca="false">Tex_table_comparison!F113</f>
        <v>&amp;</v>
      </c>
      <c r="G38" s="0" t="str">
        <f aca="false">Tex_table_comparison!G113</f>
        <v>\textcolor{OliveGreen}{</v>
      </c>
      <c r="H38" s="19" t="n">
        <f aca="false">Tex_table_comparison!H113</f>
        <v>-0.265301681545053</v>
      </c>
      <c r="I38" s="0" t="str">
        <f aca="false">Tex_table_comparison!I113</f>
        <v>}\\</v>
      </c>
    </row>
    <row r="39" customFormat="false" ht="15" hidden="false" customHeight="false" outlineLevel="0" collapsed="false">
      <c r="A39" s="0" t="str">
        <f aca="false">Tex_table_comparison!A114</f>
        <v>Dec time</v>
      </c>
      <c r="B39" s="0" t="str">
        <f aca="false">Tex_table_comparison!B114</f>
        <v>&amp;</v>
      </c>
      <c r="C39" s="8" t="n">
        <f aca="false">Tex_table_comparison!C114</f>
        <v>42.6499600106638</v>
      </c>
      <c r="D39" s="8" t="str">
        <f aca="false">Tex_table_comparison!D114</f>
        <v>&amp;</v>
      </c>
      <c r="E39" s="8" t="n">
        <f aca="false">Tex_table_comparison!E114</f>
        <v>31.9474724940425</v>
      </c>
      <c r="F39" s="0" t="str">
        <f aca="false">Tex_table_comparison!F114</f>
        <v>&amp;</v>
      </c>
      <c r="G39" s="0" t="str">
        <f aca="false">Tex_table_comparison!G114</f>
        <v>\textcolor{OliveGreen}{</v>
      </c>
      <c r="H39" s="19" t="n">
        <f aca="false">Tex_table_comparison!H114</f>
        <v>-0.250937808943909</v>
      </c>
      <c r="I39" s="0" t="str">
        <f aca="false">Tex_table_comparison!I114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2"/>
  <sheetViews>
    <sheetView showFormulas="false" showGridLines="true" showRowColHeaders="true" showZeros="true" rightToLeft="false" tabSelected="false" showOutlineSymbols="true" defaultGridColor="true" view="normal" topLeftCell="C25" colorId="64" zoomScale="120" zoomScaleNormal="120" zoomScalePageLayoutView="100" workbookViewId="0">
      <selection pane="topLeft" activeCell="W70" activeCellId="1" sqref="S90:S101 W70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9" min="2" style="0" width="8.57"/>
    <col collapsed="false" customWidth="true" hidden="false" outlineLevel="0" max="10" min="10" style="0" width="14.87"/>
    <col collapsed="false" customWidth="true" hidden="false" outlineLevel="0" max="11" min="11" style="0" width="10.84"/>
    <col collapsed="false" customWidth="true" hidden="false" outlineLevel="0" max="16" min="12" style="0" width="8.57"/>
    <col collapsed="false" customWidth="true" hidden="false" outlineLevel="0" max="17" min="17" style="0" width="13.51"/>
    <col collapsed="false" customWidth="true" hidden="false" outlineLevel="0" max="18" min="18" style="0" width="18.71"/>
    <col collapsed="false" customWidth="true" hidden="false" outlineLevel="0" max="1025" min="19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121</v>
      </c>
      <c r="L1" s="1" t="s">
        <v>122</v>
      </c>
      <c r="M1" s="1"/>
    </row>
    <row r="2" customFormat="false" ht="15" hidden="false" customHeight="false" outlineLevel="0" collapsed="false">
      <c r="A2" s="0" t="s">
        <v>75</v>
      </c>
      <c r="B2" s="0" t="n">
        <v>490</v>
      </c>
      <c r="C2" s="0" t="n">
        <v>10</v>
      </c>
      <c r="D2" s="0" t="n">
        <v>7</v>
      </c>
      <c r="E2" s="0" t="n">
        <v>3</v>
      </c>
      <c r="F2" s="0" t="n">
        <v>445</v>
      </c>
      <c r="G2" s="0" t="n">
        <v>16</v>
      </c>
      <c r="J2" s="0" t="n">
        <v>16</v>
      </c>
      <c r="K2" s="0" t="n">
        <v>11</v>
      </c>
      <c r="L2" s="0" t="n">
        <v>190</v>
      </c>
    </row>
    <row r="3" customFormat="false" ht="15" hidden="false" customHeight="false" outlineLevel="0" collapsed="false">
      <c r="A3" s="0" t="s">
        <v>76</v>
      </c>
      <c r="B3" s="0" t="n">
        <v>756</v>
      </c>
      <c r="C3" s="0" t="n">
        <v>12</v>
      </c>
      <c r="D3" s="0" t="n">
        <v>8</v>
      </c>
      <c r="E3" s="0" t="n">
        <v>2</v>
      </c>
      <c r="F3" s="0" t="n">
        <v>780</v>
      </c>
      <c r="G3" s="0" t="n">
        <v>24</v>
      </c>
      <c r="J3" s="0" t="n">
        <v>24</v>
      </c>
      <c r="K3" s="0" t="n">
        <v>13</v>
      </c>
      <c r="L3" s="0" t="n">
        <v>218</v>
      </c>
    </row>
    <row r="4" customFormat="false" ht="15" hidden="false" customHeight="false" outlineLevel="0" collapsed="false">
      <c r="A4" s="0" t="s">
        <v>77</v>
      </c>
      <c r="B4" s="0" t="n">
        <v>940</v>
      </c>
      <c r="C4" s="0" t="n">
        <v>12</v>
      </c>
      <c r="D4" s="0" t="n">
        <v>8</v>
      </c>
      <c r="E4" s="0" t="n">
        <v>2</v>
      </c>
      <c r="F4" s="0" t="n">
        <v>972</v>
      </c>
      <c r="G4" s="0" t="n">
        <v>32</v>
      </c>
      <c r="J4" s="0" t="n">
        <v>32</v>
      </c>
      <c r="K4" s="0" t="n">
        <v>16</v>
      </c>
      <c r="L4" s="0" t="n">
        <v>234</v>
      </c>
    </row>
    <row r="5" customFormat="false" ht="15" hidden="false" customHeight="false" outlineLevel="0" collapsed="false">
      <c r="A5" s="0" t="s">
        <v>78</v>
      </c>
      <c r="B5" s="0" t="n">
        <v>508</v>
      </c>
      <c r="C5" s="0" t="n">
        <v>10</v>
      </c>
      <c r="D5" s="0" t="n">
        <v>7</v>
      </c>
      <c r="E5" s="0" t="n">
        <v>4</v>
      </c>
      <c r="F5" s="0" t="n">
        <v>461</v>
      </c>
      <c r="G5" s="0" t="n">
        <v>493</v>
      </c>
      <c r="J5" s="0" t="n">
        <v>16</v>
      </c>
      <c r="K5" s="0" t="n">
        <v>11</v>
      </c>
      <c r="L5" s="0" t="n">
        <v>190</v>
      </c>
    </row>
    <row r="6" customFormat="false" ht="15" hidden="false" customHeight="false" outlineLevel="0" collapsed="false">
      <c r="A6" s="0" t="s">
        <v>79</v>
      </c>
      <c r="B6" s="0" t="n">
        <v>756</v>
      </c>
      <c r="C6" s="0" t="n">
        <v>12</v>
      </c>
      <c r="D6" s="0" t="n">
        <v>8</v>
      </c>
      <c r="E6" s="0" t="n">
        <v>3</v>
      </c>
      <c r="F6" s="0" t="n">
        <v>780</v>
      </c>
      <c r="G6" s="0" t="n">
        <v>828</v>
      </c>
      <c r="J6" s="0" t="n">
        <v>24</v>
      </c>
      <c r="K6" s="0" t="n">
        <v>13</v>
      </c>
      <c r="L6" s="0" t="n">
        <v>218</v>
      </c>
    </row>
    <row r="7" customFormat="false" ht="15" hidden="false" customHeight="false" outlineLevel="0" collapsed="false">
      <c r="A7" s="0" t="s">
        <v>80</v>
      </c>
      <c r="B7" s="0" t="n">
        <v>946</v>
      </c>
      <c r="C7" s="0" t="n">
        <v>11</v>
      </c>
      <c r="D7" s="0" t="n">
        <v>8</v>
      </c>
      <c r="E7" s="0" t="n">
        <v>5</v>
      </c>
      <c r="F7" s="0" t="n">
        <v>978</v>
      </c>
      <c r="G7" s="0" t="n">
        <v>1042</v>
      </c>
      <c r="J7" s="0" t="n">
        <v>32</v>
      </c>
      <c r="K7" s="0" t="n">
        <v>16</v>
      </c>
      <c r="L7" s="0" t="n">
        <v>234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21" t="s">
        <v>123</v>
      </c>
      <c r="K10" s="2" t="s">
        <v>24</v>
      </c>
      <c r="L10" s="2" t="s">
        <v>25</v>
      </c>
      <c r="M10" s="2"/>
    </row>
    <row r="11" customFormat="false" ht="15" hidden="false" customHeight="false" outlineLevel="0" collapsed="false">
      <c r="A11" s="0" t="s">
        <v>75</v>
      </c>
      <c r="B11" s="0" t="n">
        <f aca="false">_xlfn.CEILING.MATH(B2*C2/64)</f>
        <v>77</v>
      </c>
      <c r="C11" s="0" t="n">
        <f aca="false">_xlfn.CEILING.MATH(B2*D2/64)</f>
        <v>54</v>
      </c>
      <c r="D11" s="0" t="n">
        <f aca="false">_xlfn.CEILING.MATH(B2*2/64)</f>
        <v>16</v>
      </c>
      <c r="E11" s="0" t="n">
        <f aca="false">_xlfn.CEILING.MATH(E2*J2*8/64)</f>
        <v>6</v>
      </c>
      <c r="F11" s="0" t="n">
        <f aca="false">_xlfn.CEILING.MATH(J2*8/64)</f>
        <v>2</v>
      </c>
      <c r="G11" s="0" t="n">
        <f aca="false">_xlfn.CEILING.MATH(G2*8/64)</f>
        <v>2</v>
      </c>
      <c r="H11" s="0" t="n">
        <f aca="false">_xlfn.CEILING.MATH(J2*8/64)</f>
        <v>2</v>
      </c>
      <c r="I11" s="0" t="n">
        <f aca="false">_xlfn.CEILING.MATH(L2/64)</f>
        <v>3</v>
      </c>
      <c r="K11" s="0" t="n">
        <f aca="false">4*B2+10</f>
        <v>1970</v>
      </c>
      <c r="L11" s="0" t="n">
        <f aca="false">2*B2+7</f>
        <v>987</v>
      </c>
    </row>
    <row r="12" customFormat="false" ht="15" hidden="false" customHeight="false" outlineLevel="0" collapsed="false">
      <c r="A12" s="0" t="s">
        <v>76</v>
      </c>
      <c r="B12" s="0" t="n">
        <f aca="false">_xlfn.CEILING.MATH(B3*C3/64)</f>
        <v>142</v>
      </c>
      <c r="C12" s="0" t="n">
        <f aca="false">_xlfn.CEILING.MATH(B3*D3/64)</f>
        <v>95</v>
      </c>
      <c r="D12" s="0" t="n">
        <f aca="false">_xlfn.CEILING.MATH(B3*2/64)</f>
        <v>24</v>
      </c>
      <c r="E12" s="0" t="n">
        <f aca="false">_xlfn.CEILING.MATH(E3*J3*8/64)</f>
        <v>6</v>
      </c>
      <c r="F12" s="0" t="n">
        <f aca="false">_xlfn.CEILING.MATH(J3*8/64)</f>
        <v>3</v>
      </c>
      <c r="G12" s="0" t="n">
        <f aca="false">_xlfn.CEILING.MATH(G3*8/64)</f>
        <v>3</v>
      </c>
      <c r="H12" s="0" t="n">
        <f aca="false">_xlfn.CEILING.MATH(J3*8/64)</f>
        <v>3</v>
      </c>
      <c r="I12" s="0" t="n">
        <f aca="false">_xlfn.CEILING.MATH(L3/64)</f>
        <v>4</v>
      </c>
      <c r="K12" s="0" t="n">
        <f aca="false">4*B3+10</f>
        <v>3034</v>
      </c>
      <c r="L12" s="0" t="n">
        <f aca="false">2*B3+7</f>
        <v>1519</v>
      </c>
    </row>
    <row r="13" customFormat="false" ht="15" hidden="false" customHeight="false" outlineLevel="0" collapsed="false">
      <c r="A13" s="0" t="s">
        <v>77</v>
      </c>
      <c r="B13" s="0" t="n">
        <f aca="false">_xlfn.CEILING.MATH(B4*C4/64)</f>
        <v>177</v>
      </c>
      <c r="C13" s="0" t="n">
        <f aca="false">_xlfn.CEILING.MATH(B4*D4/64)</f>
        <v>118</v>
      </c>
      <c r="D13" s="0" t="n">
        <f aca="false">_xlfn.CEILING.MATH(B4*2/64)</f>
        <v>30</v>
      </c>
      <c r="E13" s="0" t="n">
        <f aca="false">_xlfn.CEILING.MATH(E4*J4*8/64)</f>
        <v>8</v>
      </c>
      <c r="F13" s="0" t="n">
        <f aca="false">_xlfn.CEILING.MATH(J4*8/64)</f>
        <v>4</v>
      </c>
      <c r="G13" s="0" t="n">
        <f aca="false">_xlfn.CEILING.MATH(G4*8/64)</f>
        <v>4</v>
      </c>
      <c r="H13" s="0" t="n">
        <f aca="false">_xlfn.CEILING.MATH(J4*8/64)</f>
        <v>4</v>
      </c>
      <c r="I13" s="0" t="n">
        <f aca="false">_xlfn.CEILING.MATH(L4/64)</f>
        <v>4</v>
      </c>
      <c r="K13" s="0" t="n">
        <f aca="false">4*B4+10</f>
        <v>3770</v>
      </c>
      <c r="L13" s="0" t="n">
        <f aca="false">2*B4+7</f>
        <v>1887</v>
      </c>
    </row>
    <row r="14" customFormat="false" ht="15" hidden="false" customHeight="false" outlineLevel="0" collapsed="false">
      <c r="A14" s="0" t="s">
        <v>78</v>
      </c>
      <c r="B14" s="0" t="n">
        <f aca="false">_xlfn.CEILING.MATH(B5*C5/64)</f>
        <v>80</v>
      </c>
      <c r="C14" s="0" t="n">
        <f aca="false">_xlfn.CEILING.MATH(B5*D5/64)</f>
        <v>56</v>
      </c>
      <c r="D14" s="0" t="n">
        <f aca="false">_xlfn.CEILING.MATH(B5*2/64)</f>
        <v>16</v>
      </c>
      <c r="E14" s="0" t="n">
        <f aca="false">_xlfn.CEILING.MATH(E5*J5*8/64)</f>
        <v>8</v>
      </c>
      <c r="F14" s="0" t="n">
        <f aca="false">_xlfn.CEILING.MATH(J5*8/64)</f>
        <v>2</v>
      </c>
      <c r="G14" s="0" t="n">
        <f aca="false">_xlfn.CEILING.MATH(G5*8/64)</f>
        <v>62</v>
      </c>
      <c r="H14" s="0" t="n">
        <f aca="false">_xlfn.CEILING.MATH(J5*8/64)</f>
        <v>2</v>
      </c>
      <c r="I14" s="0" t="n">
        <f aca="false">_xlfn.CEILING.MATH(L5/64)</f>
        <v>3</v>
      </c>
      <c r="K14" s="0" t="n">
        <f aca="false">4*B5+10</f>
        <v>2042</v>
      </c>
      <c r="L14" s="0" t="n">
        <f aca="false">2*B5+7</f>
        <v>1023</v>
      </c>
    </row>
    <row r="15" customFormat="false" ht="15" hidden="false" customHeight="false" outlineLevel="0" collapsed="false">
      <c r="A15" s="0" t="s">
        <v>79</v>
      </c>
      <c r="B15" s="0" t="n">
        <f aca="false">_xlfn.CEILING.MATH(B6*C6/64)</f>
        <v>142</v>
      </c>
      <c r="C15" s="0" t="n">
        <f aca="false">_xlfn.CEILING.MATH(B6*D6/64)</f>
        <v>95</v>
      </c>
      <c r="D15" s="0" t="n">
        <f aca="false">_xlfn.CEILING.MATH(B6*2/64)</f>
        <v>24</v>
      </c>
      <c r="E15" s="0" t="n">
        <f aca="false">_xlfn.CEILING.MATH(E6*J6*8/64)</f>
        <v>9</v>
      </c>
      <c r="F15" s="0" t="n">
        <f aca="false">_xlfn.CEILING.MATH(J6*8/64)</f>
        <v>3</v>
      </c>
      <c r="G15" s="0" t="n">
        <f aca="false">_xlfn.CEILING.MATH(G6*8/64)</f>
        <v>104</v>
      </c>
      <c r="H15" s="0" t="n">
        <f aca="false">_xlfn.CEILING.MATH(J6*8/64)</f>
        <v>3</v>
      </c>
      <c r="I15" s="0" t="n">
        <f aca="false">_xlfn.CEILING.MATH(L6/64)</f>
        <v>4</v>
      </c>
      <c r="K15" s="0" t="n">
        <f aca="false">4*B6+10</f>
        <v>3034</v>
      </c>
      <c r="L15" s="0" t="n">
        <f aca="false">2*B6+7</f>
        <v>1519</v>
      </c>
    </row>
    <row r="16" customFormat="false" ht="15" hidden="false" customHeight="false" outlineLevel="0" collapsed="false">
      <c r="A16" s="0" t="s">
        <v>80</v>
      </c>
      <c r="B16" s="0" t="n">
        <f aca="false">_xlfn.CEILING.MATH(B7*C7/64)</f>
        <v>163</v>
      </c>
      <c r="C16" s="0" t="n">
        <f aca="false">_xlfn.CEILING.MATH(B7*D7/64)</f>
        <v>119</v>
      </c>
      <c r="D16" s="0" t="n">
        <f aca="false">_xlfn.CEILING.MATH(B7*2/64)</f>
        <v>30</v>
      </c>
      <c r="E16" s="0" t="n">
        <f aca="false">_xlfn.CEILING.MATH(E7*J7*8/64)</f>
        <v>20</v>
      </c>
      <c r="F16" s="0" t="n">
        <f aca="false">_xlfn.CEILING.MATH(J7*8/64)</f>
        <v>4</v>
      </c>
      <c r="G16" s="0" t="n">
        <f aca="false">_xlfn.CEILING.MATH(G7*8/64)</f>
        <v>131</v>
      </c>
      <c r="H16" s="0" t="n">
        <f aca="false">_xlfn.CEILING.MATH(J7*8/64)</f>
        <v>4</v>
      </c>
      <c r="I16" s="0" t="n">
        <f aca="false">_xlfn.CEILING.MATH(L7/64)</f>
        <v>4</v>
      </c>
      <c r="K16" s="0" t="n">
        <f aca="false">4*B7+10</f>
        <v>3794</v>
      </c>
      <c r="L16" s="0" t="n">
        <f aca="false">2*B7+7</f>
        <v>1899</v>
      </c>
    </row>
    <row r="18" customFormat="false" ht="15" hidden="false" customHeight="false" outlineLevel="0" collapsed="false">
      <c r="A18" s="3" t="s">
        <v>26</v>
      </c>
    </row>
    <row r="19" customFormat="false" ht="15" hidden="false" customHeight="false" outlineLevel="0" collapsed="false">
      <c r="A19" s="4" t="s">
        <v>27</v>
      </c>
      <c r="B19" s="4" t="s">
        <v>28</v>
      </c>
      <c r="C19" s="4" t="s">
        <v>29</v>
      </c>
      <c r="D19" s="4" t="s">
        <v>30</v>
      </c>
      <c r="H19" s="0" t="s">
        <v>31</v>
      </c>
    </row>
    <row r="20" customFormat="false" ht="15" hidden="false" customHeight="false" outlineLevel="0" collapsed="false">
      <c r="A20" s="0" t="str">
        <f aca="false">A11</f>
        <v>1KEM_5d</v>
      </c>
      <c r="B20" s="0" t="n">
        <f aca="false">W29</f>
        <v>2219</v>
      </c>
      <c r="C20" s="0" t="n">
        <f aca="false">S40</f>
        <v>1200</v>
      </c>
      <c r="W20" s="0" t="s">
        <v>32</v>
      </c>
    </row>
    <row r="21" customFormat="false" ht="15" hidden="false" customHeight="false" outlineLevel="0" collapsed="false">
      <c r="A21" s="0" t="str">
        <f aca="false">A12</f>
        <v>3KEM_5d</v>
      </c>
      <c r="B21" s="0" t="n">
        <f aca="false">W30</f>
        <v>3453</v>
      </c>
      <c r="C21" s="0" t="n">
        <f aca="false">S41</f>
        <v>1831</v>
      </c>
      <c r="H21" s="0" t="s">
        <v>33</v>
      </c>
    </row>
    <row r="22" customFormat="false" ht="15" hidden="false" customHeight="false" outlineLevel="0" collapsed="false">
      <c r="A22" s="0" t="str">
        <f aca="false">A13</f>
        <v>5KEM_5d</v>
      </c>
      <c r="B22" s="0" t="n">
        <f aca="false">W31</f>
        <v>4279</v>
      </c>
      <c r="C22" s="0" t="n">
        <f aca="false">S42</f>
        <v>2252</v>
      </c>
      <c r="H22" s="0" t="n">
        <f aca="false">H11</f>
        <v>2</v>
      </c>
      <c r="I22" s="0" t="s">
        <v>34</v>
      </c>
      <c r="J22" s="5" t="s">
        <v>35</v>
      </c>
      <c r="K22" s="5" t="s">
        <v>36</v>
      </c>
      <c r="L22" s="5" t="s">
        <v>37</v>
      </c>
      <c r="M22" s="5" t="s">
        <v>124</v>
      </c>
    </row>
    <row r="23" customFormat="false" ht="15" hidden="false" customHeight="false" outlineLevel="0" collapsed="false">
      <c r="H23" s="0" t="n">
        <f aca="false">H12</f>
        <v>3</v>
      </c>
      <c r="I23" s="0" t="n">
        <f aca="false">_xlfn.CEILING.MATH(B2*C2/1088)*24</f>
        <v>120</v>
      </c>
      <c r="J23" s="0" t="n">
        <f aca="false">C11</f>
        <v>54</v>
      </c>
      <c r="K23" s="0" t="n">
        <f aca="false">F11</f>
        <v>2</v>
      </c>
      <c r="L23" s="0" t="n">
        <f aca="false">H11</f>
        <v>2</v>
      </c>
      <c r="M23" s="0" t="n">
        <v>0</v>
      </c>
      <c r="N23" s="0" t="s">
        <v>38</v>
      </c>
      <c r="O23" s="0" t="s">
        <v>39</v>
      </c>
    </row>
    <row r="24" customFormat="false" ht="15" hidden="false" customHeight="false" outlineLevel="0" collapsed="false">
      <c r="A24" s="4" t="s">
        <v>40</v>
      </c>
      <c r="B24" s="4" t="s">
        <v>41</v>
      </c>
      <c r="C24" s="4" t="s">
        <v>42</v>
      </c>
      <c r="D24" s="4" t="s">
        <v>43</v>
      </c>
      <c r="H24" s="0" t="n">
        <f aca="false">H13</f>
        <v>4</v>
      </c>
      <c r="I24" s="0" t="n">
        <f aca="false">_xlfn.CEILING.MATH(B3*C3/1088)*24</f>
        <v>216</v>
      </c>
      <c r="J24" s="0" t="n">
        <f aca="false">C12</f>
        <v>95</v>
      </c>
      <c r="K24" s="0" t="n">
        <f aca="false">F12</f>
        <v>3</v>
      </c>
      <c r="L24" s="0" t="n">
        <f aca="false">H12</f>
        <v>3</v>
      </c>
      <c r="M24" s="0" t="n">
        <v>0</v>
      </c>
      <c r="N24" s="0" t="n">
        <f aca="false">_xlfn.CEILING.MATH(B2*2/1088)*24</f>
        <v>24</v>
      </c>
      <c r="O24" s="0" t="n">
        <f aca="false">_xlfn.CEILING.MATH(B2*C2/64)</f>
        <v>77</v>
      </c>
      <c r="P24" s="0" t="s">
        <v>44</v>
      </c>
    </row>
    <row r="25" customFormat="false" ht="15" hidden="false" customHeight="false" outlineLevel="0" collapsed="false">
      <c r="A25" s="0" t="str">
        <f aca="false">A14</f>
        <v>1PKE_5d</v>
      </c>
      <c r="B25" s="0" t="n">
        <f aca="false">W55</f>
        <v>2423</v>
      </c>
      <c r="C25" s="0" t="n">
        <f aca="false">X70</f>
        <v>3395</v>
      </c>
      <c r="I25" s="0" t="n">
        <f aca="false">_xlfn.CEILING.MATH(B4*C4/1088)*24</f>
        <v>264</v>
      </c>
      <c r="J25" s="0" t="n">
        <f aca="false">C13</f>
        <v>118</v>
      </c>
      <c r="K25" s="0" t="n">
        <f aca="false">F13</f>
        <v>4</v>
      </c>
      <c r="L25" s="0" t="n">
        <f aca="false">H13</f>
        <v>4</v>
      </c>
      <c r="M25" s="0" t="n">
        <v>0</v>
      </c>
      <c r="N25" s="0" t="n">
        <f aca="false">_xlfn.CEILING.MATH(B3*2/1088)*24</f>
        <v>48</v>
      </c>
      <c r="O25" s="0" t="n">
        <f aca="false">_xlfn.CEILING.MATH(B3*C3/64)</f>
        <v>142</v>
      </c>
      <c r="P25" s="0" t="n">
        <f aca="false">_xlfn.CEILING.MATH(B2*2/64)</f>
        <v>16</v>
      </c>
      <c r="Q25" s="0" t="s">
        <v>125</v>
      </c>
      <c r="R25" s="0" t="s">
        <v>126</v>
      </c>
      <c r="S25" s="0" t="s">
        <v>45</v>
      </c>
    </row>
    <row r="26" customFormat="false" ht="15" hidden="false" customHeight="false" outlineLevel="0" collapsed="false">
      <c r="A26" s="0" t="str">
        <f aca="false">A15</f>
        <v>3PKE_5d</v>
      </c>
      <c r="B26" s="0" t="n">
        <f aca="false">W56</f>
        <v>3650</v>
      </c>
      <c r="C26" s="0" t="n">
        <f aca="false">X71</f>
        <v>5076</v>
      </c>
      <c r="N26" s="0" t="n">
        <f aca="false">_xlfn.CEILING.MATH(B4*2/1088)*24</f>
        <v>48</v>
      </c>
      <c r="O26" s="0" t="n">
        <f aca="false">_xlfn.CEILING.MATH(B4*C4/64)</f>
        <v>177</v>
      </c>
      <c r="P26" s="0" t="n">
        <f aca="false">_xlfn.CEILING.MATH(B3*2/64)</f>
        <v>24</v>
      </c>
      <c r="Q26" s="0" t="n">
        <f aca="false">_xlfn.CEILING.MATH(J2*8/K2)</f>
        <v>12</v>
      </c>
      <c r="R26" s="0" t="n">
        <f aca="false">_xlfn.CEILING.MATH(L2/64)</f>
        <v>3</v>
      </c>
      <c r="S26" s="0" t="n">
        <f aca="false">K11</f>
        <v>1970</v>
      </c>
      <c r="T26" s="0" t="s">
        <v>46</v>
      </c>
    </row>
    <row r="27" customFormat="false" ht="15" hidden="false" customHeight="false" outlineLevel="0" collapsed="false">
      <c r="A27" s="0" t="str">
        <f aca="false">A16</f>
        <v>5PKE_5d</v>
      </c>
      <c r="B27" s="0" t="n">
        <f aca="false">W57</f>
        <v>4509</v>
      </c>
      <c r="C27" s="0" t="n">
        <f aca="false">X72</f>
        <v>6301</v>
      </c>
      <c r="P27" s="0" t="n">
        <f aca="false">_xlfn.CEILING.MATH(B4*2/64)</f>
        <v>30</v>
      </c>
      <c r="Q27" s="0" t="n">
        <f aca="false">_xlfn.CEILING.MATH(J3*8/K3)</f>
        <v>15</v>
      </c>
      <c r="R27" s="0" t="n">
        <f aca="false">_xlfn.CEILING.MATH(L3/64)</f>
        <v>4</v>
      </c>
      <c r="S27" s="0" t="n">
        <f aca="false">K12</f>
        <v>3034</v>
      </c>
      <c r="T27" s="0" t="n">
        <f aca="false">_xlfn.CEILING.MATH(H2*8/64)</f>
        <v>0</v>
      </c>
      <c r="U27" s="0" t="s">
        <v>47</v>
      </c>
    </row>
    <row r="28" customFormat="false" ht="15" hidden="false" customHeight="false" outlineLevel="0" collapsed="false">
      <c r="Q28" s="0" t="n">
        <f aca="false">_xlfn.CEILING.MATH(J4*8/K4)</f>
        <v>16</v>
      </c>
      <c r="R28" s="0" t="n">
        <f aca="false">_xlfn.CEILING.MATH(L4/64)</f>
        <v>4</v>
      </c>
      <c r="S28" s="0" t="n">
        <f aca="false">K13</f>
        <v>3770</v>
      </c>
      <c r="T28" s="0" t="n">
        <f aca="false">_xlfn.CEILING.MATH(H3*8/64)</f>
        <v>0</v>
      </c>
      <c r="U28" s="0" t="n">
        <v>24</v>
      </c>
      <c r="V28" s="0" t="s">
        <v>48</v>
      </c>
    </row>
    <row r="29" customFormat="false" ht="15" hidden="false" customHeight="false" outlineLevel="0" collapsed="false">
      <c r="T29" s="0" t="n">
        <f aca="false">_xlfn.CEILING.MATH(H4*8/64)</f>
        <v>0</v>
      </c>
      <c r="U29" s="0" t="n">
        <v>24</v>
      </c>
      <c r="V29" s="0" t="n">
        <f aca="false">T27+2</f>
        <v>2</v>
      </c>
      <c r="W29" s="0" t="n">
        <f aca="false">V29+U28+T27+S26+P25+O24+I23+H22+8</f>
        <v>2219</v>
      </c>
    </row>
    <row r="30" customFormat="false" ht="15" hidden="false" customHeight="false" outlineLevel="0" collapsed="false">
      <c r="U30" s="0" t="n">
        <v>24</v>
      </c>
      <c r="V30" s="0" t="n">
        <f aca="false">T28+2</f>
        <v>2</v>
      </c>
      <c r="W30" s="0" t="n">
        <f aca="false">V30+U29+T28+S27+P26+O25+I24+H23+8</f>
        <v>3453</v>
      </c>
    </row>
    <row r="31" customFormat="false" ht="15" hidden="false" customHeight="false" outlineLevel="0" collapsed="false">
      <c r="V31" s="0" t="n">
        <f aca="false">T29+2</f>
        <v>2</v>
      </c>
      <c r="W31" s="0" t="n">
        <f aca="false">V31+U30+T29+S28+P27+O26+I25+H24+8</f>
        <v>4279</v>
      </c>
    </row>
    <row r="33" customFormat="false" ht="15" hidden="false" customHeight="false" outlineLevel="0" collapsed="false">
      <c r="H33" s="0" t="s">
        <v>49</v>
      </c>
    </row>
    <row r="34" customFormat="false" ht="15" hidden="false" customHeight="false" outlineLevel="0" collapsed="false">
      <c r="H34" s="0" t="s">
        <v>50</v>
      </c>
    </row>
    <row r="35" customFormat="false" ht="15" hidden="false" customHeight="false" outlineLevel="0" collapsed="false">
      <c r="H35" s="0" t="n">
        <f aca="false">G11</f>
        <v>2</v>
      </c>
      <c r="I35" s="0" t="s">
        <v>51</v>
      </c>
      <c r="J35" s="0" t="s">
        <v>127</v>
      </c>
      <c r="K35" s="0" t="s">
        <v>53</v>
      </c>
      <c r="S35" s="0" t="s">
        <v>54</v>
      </c>
    </row>
    <row r="36" customFormat="false" ht="15" hidden="false" customHeight="false" outlineLevel="0" collapsed="false">
      <c r="H36" s="0" t="n">
        <f aca="false">G12</f>
        <v>3</v>
      </c>
      <c r="I36" s="0" t="n">
        <f aca="false">_xlfn.CEILING.MATH(B2*D2/1088)*24</f>
        <v>96</v>
      </c>
      <c r="J36" s="0" t="n">
        <f aca="false">E11+R26</f>
        <v>9</v>
      </c>
      <c r="K36" s="0" t="n">
        <f aca="false">_xlfn.CEILING.MATH(B2*D2/64)</f>
        <v>54</v>
      </c>
      <c r="L36" s="0" t="s">
        <v>55</v>
      </c>
      <c r="M36" s="0" t="s">
        <v>128</v>
      </c>
    </row>
    <row r="37" customFormat="false" ht="15" hidden="false" customHeight="false" outlineLevel="0" collapsed="false">
      <c r="H37" s="0" t="n">
        <f aca="false">G13</f>
        <v>4</v>
      </c>
      <c r="I37" s="0" t="n">
        <f aca="false">_xlfn.CEILING.MATH(B3*D3/1088)*24</f>
        <v>144</v>
      </c>
      <c r="K37" s="0" t="n">
        <f aca="false">_xlfn.CEILING.MATH(B3*D3/64)</f>
        <v>95</v>
      </c>
      <c r="L37" s="0" t="n">
        <f aca="false">L11</f>
        <v>987</v>
      </c>
      <c r="M37" s="0" t="n">
        <f aca="false">2*(_xlfn.CEILING.MATH(J2*8/K2))</f>
        <v>24</v>
      </c>
      <c r="N37" s="0" t="s">
        <v>56</v>
      </c>
    </row>
    <row r="38" customFormat="false" ht="15" hidden="false" customHeight="false" outlineLevel="0" collapsed="false">
      <c r="I38" s="0" t="n">
        <f aca="false">_xlfn.CEILING.MATH(B4*D4/1088)*24</f>
        <v>168</v>
      </c>
      <c r="K38" s="0" t="n">
        <f aca="false">_xlfn.CEILING.MATH(B4*D4/64)</f>
        <v>118</v>
      </c>
      <c r="L38" s="0" t="n">
        <f aca="false">L12</f>
        <v>1519</v>
      </c>
      <c r="M38" s="0" t="n">
        <f aca="false">2*(_xlfn.CEILING.MATH(J3*8/K3))</f>
        <v>30</v>
      </c>
      <c r="N38" s="0" t="n">
        <f aca="false">F11</f>
        <v>2</v>
      </c>
      <c r="O38" s="0" t="s">
        <v>47</v>
      </c>
    </row>
    <row r="39" customFormat="false" ht="15" hidden="false" customHeight="false" outlineLevel="0" collapsed="false">
      <c r="L39" s="0" t="n">
        <f aca="false">L13</f>
        <v>1887</v>
      </c>
      <c r="M39" s="0" t="n">
        <f aca="false">2*(_xlfn.CEILING.MATH(J4*8/K4))</f>
        <v>32</v>
      </c>
      <c r="N39" s="0" t="n">
        <f aca="false">F12</f>
        <v>3</v>
      </c>
      <c r="O39" s="0" t="n">
        <v>24</v>
      </c>
      <c r="P39" s="0" t="s">
        <v>57</v>
      </c>
    </row>
    <row r="40" customFormat="false" ht="15" hidden="false" customHeight="false" outlineLevel="0" collapsed="false">
      <c r="N40" s="0" t="n">
        <f aca="false">F13</f>
        <v>4</v>
      </c>
      <c r="O40" s="0" t="n">
        <v>24</v>
      </c>
      <c r="P40" s="0" t="n">
        <f aca="false">F11+G11</f>
        <v>4</v>
      </c>
      <c r="S40" s="0" t="n">
        <f aca="false">P40+O39+N38+L37+K36+I36+H35+7+M37</f>
        <v>1200</v>
      </c>
    </row>
    <row r="41" customFormat="false" ht="15" hidden="false" customHeight="false" outlineLevel="0" collapsed="false">
      <c r="O41" s="0" t="n">
        <v>24</v>
      </c>
      <c r="P41" s="0" t="n">
        <f aca="false">F12+G12</f>
        <v>6</v>
      </c>
      <c r="S41" s="0" t="n">
        <f aca="false">P41+O40+N39+L38+K37+I37+H36+7+M38</f>
        <v>1831</v>
      </c>
    </row>
    <row r="42" customFormat="false" ht="15" hidden="false" customHeight="false" outlineLevel="0" collapsed="false">
      <c r="P42" s="0" t="n">
        <f aca="false">F13+G13</f>
        <v>8</v>
      </c>
      <c r="S42" s="0" t="n">
        <f aca="false">P42+O41+N40+L39+K38+I38+H37+7+M39</f>
        <v>2252</v>
      </c>
    </row>
    <row r="44" customFormat="false" ht="15" hidden="false" customHeight="false" outlineLevel="0" collapsed="false">
      <c r="H44" s="0" t="s">
        <v>45</v>
      </c>
    </row>
    <row r="45" customFormat="false" ht="15" hidden="false" customHeight="false" outlineLevel="0" collapsed="false">
      <c r="H45" s="0" t="s">
        <v>58</v>
      </c>
    </row>
    <row r="46" customFormat="false" ht="15" hidden="false" customHeight="false" outlineLevel="0" collapsed="false">
      <c r="H46" s="0" t="n">
        <f aca="false">_xlfn.CEILING.MATH(F5*8/64)</f>
        <v>58</v>
      </c>
      <c r="I46" s="0" t="s">
        <v>59</v>
      </c>
      <c r="J46" s="0" t="s">
        <v>60</v>
      </c>
    </row>
    <row r="47" customFormat="false" ht="15" hidden="false" customHeight="false" outlineLevel="0" collapsed="false">
      <c r="H47" s="0" t="n">
        <f aca="false">_xlfn.CEILING.MATH(F6*8/64)</f>
        <v>98</v>
      </c>
      <c r="I47" s="0" t="n">
        <v>24</v>
      </c>
      <c r="J47" s="0" t="n">
        <f aca="false">_xlfn.CEILING.MATH(B5*C5/1088)*24</f>
        <v>120</v>
      </c>
      <c r="K47" s="0" t="s">
        <v>61</v>
      </c>
      <c r="L47" s="0" t="s">
        <v>39</v>
      </c>
      <c r="W47" s="0" t="s">
        <v>32</v>
      </c>
    </row>
    <row r="48" customFormat="false" ht="15" hidden="false" customHeight="false" outlineLevel="0" collapsed="false">
      <c r="H48" s="0" t="n">
        <f aca="false">_xlfn.CEILING.MATH(F7*8/64)</f>
        <v>123</v>
      </c>
      <c r="I48" s="0" t="n">
        <v>24</v>
      </c>
      <c r="J48" s="0" t="n">
        <f aca="false">_xlfn.CEILING.MATH(B6*C6/1088)*24</f>
        <v>216</v>
      </c>
      <c r="K48" s="0" t="n">
        <f aca="false">_xlfn.CEILING.MATH(B5*2/1088)*24</f>
        <v>24</v>
      </c>
      <c r="L48" s="0" t="n">
        <f aca="false">_xlfn.CEILING.MATH(B5*C5/64)</f>
        <v>80</v>
      </c>
      <c r="N48" s="0" t="s">
        <v>62</v>
      </c>
    </row>
    <row r="49" customFormat="false" ht="15" hidden="false" customHeight="false" outlineLevel="0" collapsed="false">
      <c r="I49" s="0" t="n">
        <f aca="false">_xlfn.CEILING.MATH(B7*C7/1088)*24</f>
        <v>240</v>
      </c>
      <c r="J49" s="0" t="n">
        <f aca="false">_xlfn.CEILING.MATH(B7*C7/1088)*24</f>
        <v>240</v>
      </c>
      <c r="K49" s="0" t="n">
        <f aca="false">_xlfn.CEILING.MATH(B6*2/1088)*24</f>
        <v>48</v>
      </c>
      <c r="L49" s="0" t="n">
        <f aca="false">_xlfn.CEILING.MATH(B6*C6/64)</f>
        <v>142</v>
      </c>
      <c r="N49" s="0" t="n">
        <f aca="false">_xlfn.CEILING.MATH(B5*2/64)</f>
        <v>16</v>
      </c>
      <c r="O49" s="0" t="s">
        <v>45</v>
      </c>
    </row>
    <row r="50" customFormat="false" ht="15" hidden="false" customHeight="false" outlineLevel="0" collapsed="false">
      <c r="K50" s="0" t="n">
        <f aca="false">_xlfn.CEILING.MATH(B7*2/1088)*24</f>
        <v>48</v>
      </c>
      <c r="L50" s="0" t="n">
        <f aca="false">_xlfn.CEILING.MATH(B7*C7/64)</f>
        <v>163</v>
      </c>
      <c r="N50" s="0" t="n">
        <f aca="false">_xlfn.CEILING.MATH(B6*2/64)</f>
        <v>24</v>
      </c>
      <c r="O50" s="0" t="n">
        <f aca="false">K14</f>
        <v>2042</v>
      </c>
      <c r="P50" s="0" t="s">
        <v>46</v>
      </c>
    </row>
    <row r="51" customFormat="false" ht="15" hidden="false" customHeight="false" outlineLevel="0" collapsed="false">
      <c r="N51" s="0" t="n">
        <f aca="false">_xlfn.CEILING.MATH(B7*2/64)</f>
        <v>30</v>
      </c>
      <c r="O51" s="0" t="n">
        <f aca="false">K15</f>
        <v>3034</v>
      </c>
      <c r="P51" s="0" t="n">
        <f aca="false">E14+I14</f>
        <v>11</v>
      </c>
      <c r="S51" s="0" t="s">
        <v>47</v>
      </c>
    </row>
    <row r="52" customFormat="false" ht="15" hidden="false" customHeight="false" outlineLevel="0" collapsed="false">
      <c r="O52" s="0" t="n">
        <f aca="false">K16</f>
        <v>3794</v>
      </c>
      <c r="P52" s="0" t="n">
        <f aca="false">E15+I15</f>
        <v>13</v>
      </c>
      <c r="S52" s="0" t="n">
        <v>24</v>
      </c>
      <c r="T52" s="0" t="s">
        <v>63</v>
      </c>
    </row>
    <row r="53" customFormat="false" ht="15" hidden="false" customHeight="false" outlineLevel="0" collapsed="false">
      <c r="P53" s="0" t="n">
        <f aca="false">E16+I16</f>
        <v>24</v>
      </c>
      <c r="S53" s="0" t="n">
        <v>24</v>
      </c>
      <c r="T53" s="0" t="n">
        <f aca="false">P51+F14</f>
        <v>13</v>
      </c>
      <c r="U53" s="0" t="s">
        <v>64</v>
      </c>
    </row>
    <row r="54" customFormat="false" ht="15" hidden="false" customHeight="false" outlineLevel="0" collapsed="false">
      <c r="S54" s="0" t="n">
        <v>24</v>
      </c>
      <c r="T54" s="0" t="n">
        <f aca="false">P52+F15</f>
        <v>16</v>
      </c>
      <c r="U54" s="0" t="n">
        <v>24</v>
      </c>
      <c r="V54" s="0" t="s">
        <v>65</v>
      </c>
    </row>
    <row r="55" customFormat="false" ht="15" hidden="false" customHeight="false" outlineLevel="0" collapsed="false">
      <c r="T55" s="0" t="n">
        <f aca="false">P53+F16</f>
        <v>28</v>
      </c>
      <c r="U55" s="0" t="n">
        <v>24</v>
      </c>
      <c r="V55" s="0" t="n">
        <f aca="false">I61</f>
        <v>0</v>
      </c>
      <c r="W55" s="0" t="n">
        <f aca="false">V55+U54+T53+S52+P51+O50+N49+L48+K48+J47+H46+11</f>
        <v>2423</v>
      </c>
    </row>
    <row r="56" customFormat="false" ht="15" hidden="false" customHeight="false" outlineLevel="0" collapsed="false">
      <c r="U56" s="0" t="n">
        <v>24</v>
      </c>
      <c r="V56" s="0" t="n">
        <f aca="false">I62</f>
        <v>0</v>
      </c>
      <c r="W56" s="0" t="n">
        <f aca="false">V56+U55+T54+S53+P52+O51+N50+L49+K49+J48+H47+11</f>
        <v>3650</v>
      </c>
    </row>
    <row r="57" customFormat="false" ht="15" hidden="false" customHeight="false" outlineLevel="0" collapsed="false">
      <c r="V57" s="0" t="n">
        <f aca="false">I63</f>
        <v>0</v>
      </c>
      <c r="W57" s="0" t="n">
        <f aca="false">V57+U56+T55+S54+P53+O52+N51+L50+K50+J49+H48+11</f>
        <v>4509</v>
      </c>
    </row>
    <row r="58" customFormat="false" ht="15" hidden="false" customHeight="false" outlineLevel="0" collapsed="false">
      <c r="H58" s="0" t="s">
        <v>55</v>
      </c>
    </row>
    <row r="59" customFormat="false" ht="15" hidden="false" customHeight="false" outlineLevel="0" collapsed="false">
      <c r="H59" s="0" t="s">
        <v>50</v>
      </c>
    </row>
    <row r="60" customFormat="false" ht="15" hidden="false" customHeight="false" outlineLevel="0" collapsed="false">
      <c r="H60" s="0" t="n">
        <f aca="false">_xlfn.CEILING.MATH(G5*8/64)</f>
        <v>62</v>
      </c>
      <c r="I60" s="0" t="s">
        <v>66</v>
      </c>
    </row>
    <row r="61" customFormat="false" ht="15" hidden="false" customHeight="false" outlineLevel="0" collapsed="false">
      <c r="H61" s="0" t="n">
        <f aca="false">_xlfn.CEILING.MATH(G6*8/64)</f>
        <v>104</v>
      </c>
      <c r="I61" s="0" t="n">
        <f aca="false">_xlfn.CEILING.MATH(I5*8/64)</f>
        <v>0</v>
      </c>
      <c r="J61" s="0" t="s">
        <v>67</v>
      </c>
    </row>
    <row r="62" customFormat="false" ht="15" hidden="false" customHeight="false" outlineLevel="0" collapsed="false">
      <c r="H62" s="0" t="n">
        <f aca="false">_xlfn.CEILING.MATH(G7*8/64)</f>
        <v>131</v>
      </c>
      <c r="I62" s="0" t="n">
        <f aca="false">_xlfn.CEILING.MATH(I6*8/64)</f>
        <v>0</v>
      </c>
      <c r="J62" s="0" t="n">
        <f aca="false">L14+M37</f>
        <v>1047</v>
      </c>
      <c r="K62" s="0" t="s">
        <v>68</v>
      </c>
    </row>
    <row r="63" customFormat="false" ht="15" hidden="false" customHeight="false" outlineLevel="0" collapsed="false">
      <c r="I63" s="0" t="n">
        <f aca="false">_xlfn.CEILING.MATH(I7*8/64)</f>
        <v>0</v>
      </c>
      <c r="J63" s="0" t="n">
        <f aca="false">L15+M38</f>
        <v>1549</v>
      </c>
      <c r="K63" s="0" t="n">
        <f aca="false">E14+I14</f>
        <v>11</v>
      </c>
      <c r="L63" s="0" t="s">
        <v>69</v>
      </c>
      <c r="N63" s="0" t="s">
        <v>70</v>
      </c>
    </row>
    <row r="64" customFormat="false" ht="15" hidden="false" customHeight="false" outlineLevel="0" collapsed="false">
      <c r="J64" s="0" t="n">
        <f aca="false">L16+M39</f>
        <v>1931</v>
      </c>
      <c r="K64" s="0" t="n">
        <f aca="false">E15+I15</f>
        <v>13</v>
      </c>
      <c r="L64" s="0" t="n">
        <v>24</v>
      </c>
      <c r="N64" s="0" t="n">
        <f aca="false">_xlfn.CEILING.MATH(F5*8/64)</f>
        <v>58</v>
      </c>
      <c r="O64" s="0" t="s">
        <v>60</v>
      </c>
      <c r="P64" s="0" t="s">
        <v>61</v>
      </c>
    </row>
    <row r="65" customFormat="false" ht="15" hidden="false" customHeight="false" outlineLevel="0" collapsed="false">
      <c r="K65" s="0" t="n">
        <f aca="false">E16+I16</f>
        <v>24</v>
      </c>
      <c r="L65" s="0" t="n">
        <v>24</v>
      </c>
      <c r="N65" s="0" t="n">
        <f aca="false">_xlfn.CEILING.MATH(F6*8/64)</f>
        <v>98</v>
      </c>
      <c r="O65" s="0" t="n">
        <f aca="false">_xlfn.CEILING.MATH(B5*C5/1088)*24</f>
        <v>120</v>
      </c>
      <c r="P65" s="0" t="n">
        <f aca="false">_xlfn.CEILING.MATH(B5*2/64)</f>
        <v>16</v>
      </c>
      <c r="S65" s="0" t="s">
        <v>71</v>
      </c>
    </row>
    <row r="66" customFormat="false" ht="15" hidden="false" customHeight="false" outlineLevel="0" collapsed="false">
      <c r="L66" s="0" t="n">
        <v>24</v>
      </c>
      <c r="N66" s="0" t="n">
        <f aca="false">_xlfn.CEILING.MATH(F7*8/64)</f>
        <v>123</v>
      </c>
      <c r="O66" s="0" t="n">
        <f aca="false">_xlfn.CEILING.MATH(B6*C6/1088)*24</f>
        <v>216</v>
      </c>
      <c r="P66" s="0" t="n">
        <f aca="false">_xlfn.CEILING.MATH(B6*2/64)</f>
        <v>24</v>
      </c>
      <c r="S66" s="0" t="n">
        <f aca="false">P65</f>
        <v>16</v>
      </c>
      <c r="T66" s="0" t="s">
        <v>72</v>
      </c>
      <c r="X66" s="0" t="s">
        <v>54</v>
      </c>
    </row>
    <row r="67" customFormat="false" ht="15" hidden="false" customHeight="false" outlineLevel="0" collapsed="false">
      <c r="O67" s="0" t="n">
        <f aca="false">_xlfn.CEILING.MATH(B7*C7/1088)*24</f>
        <v>240</v>
      </c>
      <c r="P67" s="0" t="n">
        <f aca="false">_xlfn.CEILING.MATH(B7*2/64)</f>
        <v>30</v>
      </c>
      <c r="S67" s="0" t="n">
        <f aca="false">P66</f>
        <v>24</v>
      </c>
      <c r="T67" s="0" t="n">
        <f aca="false">K14</f>
        <v>2042</v>
      </c>
      <c r="U67" s="0" t="s">
        <v>69</v>
      </c>
    </row>
    <row r="68" customFormat="false" ht="15" hidden="false" customHeight="false" outlineLevel="0" collapsed="false">
      <c r="S68" s="0" t="n">
        <f aca="false">P67</f>
        <v>30</v>
      </c>
      <c r="T68" s="0" t="n">
        <f aca="false">K15</f>
        <v>3034</v>
      </c>
      <c r="U68" s="0" t="n">
        <v>24</v>
      </c>
      <c r="V68" s="0" t="s">
        <v>73</v>
      </c>
    </row>
    <row r="69" customFormat="false" ht="15" hidden="false" customHeight="false" outlineLevel="0" collapsed="false">
      <c r="T69" s="0" t="n">
        <f aca="false">K16</f>
        <v>3794</v>
      </c>
      <c r="U69" s="0" t="n">
        <v>24</v>
      </c>
      <c r="V69" s="0" t="n">
        <v>24</v>
      </c>
      <c r="W69" s="0" t="s">
        <v>74</v>
      </c>
    </row>
    <row r="70" customFormat="false" ht="15" hidden="false" customHeight="false" outlineLevel="0" collapsed="false">
      <c r="U70" s="0" t="n">
        <v>24</v>
      </c>
      <c r="V70" s="0" t="n">
        <v>24</v>
      </c>
      <c r="W70" s="0" t="n">
        <f aca="false">J5*8/64</f>
        <v>2</v>
      </c>
      <c r="X70" s="0" t="n">
        <f aca="false">W70+V69+U68+T67+S66+O65+N64+J62+I61+H60</f>
        <v>3395</v>
      </c>
    </row>
    <row r="71" customFormat="false" ht="15" hidden="false" customHeight="false" outlineLevel="0" collapsed="false">
      <c r="V71" s="0" t="n">
        <v>24</v>
      </c>
      <c r="W71" s="0" t="n">
        <f aca="false">J6*8/64</f>
        <v>3</v>
      </c>
      <c r="X71" s="0" t="n">
        <f aca="false">W71+V70+U69+T68+S67+O66+N65+J63+I62+H61</f>
        <v>5076</v>
      </c>
    </row>
    <row r="72" customFormat="false" ht="15" hidden="false" customHeight="false" outlineLevel="0" collapsed="false">
      <c r="W72" s="0" t="n">
        <f aca="false">J7*8/64</f>
        <v>4</v>
      </c>
      <c r="X72" s="0" t="n">
        <f aca="false">W72+V71+U70+T69+S68+O67+N66+J64+I63+H62</f>
        <v>6301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1" sqref="S90:S101 O15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8.82"/>
    <col collapsed="false" customWidth="true" hidden="false" outlineLevel="0" max="1025" min="4" style="0" width="9.14"/>
  </cols>
  <sheetData>
    <row r="6" customFormat="false" ht="13.8" hidden="false" customHeight="false" outlineLevel="0" collapsed="false">
      <c r="C6" s="22" t="s">
        <v>129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 t="s">
        <v>130</v>
      </c>
      <c r="P6" s="22"/>
      <c r="Q6" s="22"/>
      <c r="R6" s="22"/>
      <c r="S6" s="22"/>
      <c r="T6" s="22"/>
    </row>
    <row r="7" customFormat="false" ht="13.8" hidden="false" customHeight="false" outlineLevel="0" collapsed="false">
      <c r="C7" s="22" t="s">
        <v>131</v>
      </c>
      <c r="D7" s="22"/>
      <c r="E7" s="22"/>
      <c r="F7" s="22"/>
      <c r="G7" s="22"/>
      <c r="H7" s="22"/>
      <c r="I7" s="22" t="s">
        <v>132</v>
      </c>
      <c r="J7" s="22"/>
      <c r="K7" s="22"/>
      <c r="L7" s="22"/>
      <c r="M7" s="22"/>
      <c r="N7" s="22"/>
      <c r="O7" s="22" t="s">
        <v>132</v>
      </c>
      <c r="P7" s="22"/>
      <c r="Q7" s="22"/>
      <c r="R7" s="22"/>
      <c r="S7" s="22"/>
      <c r="T7" s="22"/>
    </row>
    <row r="8" customFormat="false" ht="13.8" hidden="false" customHeight="false" outlineLevel="0" collapsed="false">
      <c r="C8" s="22" t="s">
        <v>133</v>
      </c>
      <c r="D8" s="22"/>
      <c r="E8" s="22"/>
      <c r="F8" s="22" t="s">
        <v>134</v>
      </c>
      <c r="G8" s="22"/>
      <c r="H8" s="22"/>
      <c r="I8" s="22" t="s">
        <v>133</v>
      </c>
      <c r="J8" s="22"/>
      <c r="K8" s="22"/>
      <c r="L8" s="22" t="s">
        <v>134</v>
      </c>
      <c r="M8" s="22"/>
      <c r="N8" s="22"/>
      <c r="O8" s="22" t="s">
        <v>133</v>
      </c>
      <c r="P8" s="22"/>
      <c r="Q8" s="22"/>
      <c r="R8" s="22" t="s">
        <v>134</v>
      </c>
      <c r="S8" s="22"/>
      <c r="T8" s="22"/>
    </row>
    <row r="9" customFormat="false" ht="13.8" hidden="false" customHeight="false" outlineLevel="0" collapsed="false">
      <c r="B9" s="0" t="s">
        <v>135</v>
      </c>
      <c r="C9" s="23" t="n">
        <v>1</v>
      </c>
      <c r="D9" s="23" t="n">
        <v>3</v>
      </c>
      <c r="E9" s="23" t="n">
        <v>5</v>
      </c>
      <c r="F9" s="23" t="n">
        <v>1</v>
      </c>
      <c r="G9" s="23" t="n">
        <v>3</v>
      </c>
      <c r="H9" s="23" t="n">
        <v>5</v>
      </c>
      <c r="I9" s="23" t="n">
        <v>1</v>
      </c>
      <c r="J9" s="23" t="n">
        <v>3</v>
      </c>
      <c r="K9" s="23" t="n">
        <v>5</v>
      </c>
      <c r="L9" s="23" t="n">
        <v>1</v>
      </c>
      <c r="M9" s="23" t="n">
        <v>3</v>
      </c>
      <c r="N9" s="23" t="n">
        <v>5</v>
      </c>
      <c r="O9" s="23" t="n">
        <v>1</v>
      </c>
      <c r="P9" s="23" t="n">
        <v>3</v>
      </c>
      <c r="Q9" s="23" t="n">
        <v>5</v>
      </c>
      <c r="R9" s="23" t="n">
        <v>1</v>
      </c>
      <c r="S9" s="23" t="n">
        <v>3</v>
      </c>
      <c r="T9" s="23" t="n">
        <v>5</v>
      </c>
    </row>
    <row r="10" customFormat="false" ht="13.8" hidden="false" customHeight="false" outlineLevel="0" collapsed="false">
      <c r="B10" s="0" t="s">
        <v>136</v>
      </c>
      <c r="C10" s="24" t="n">
        <v>80</v>
      </c>
      <c r="D10" s="24" t="n">
        <v>114</v>
      </c>
      <c r="E10" s="24" t="n">
        <v>148</v>
      </c>
      <c r="F10" s="24" t="n">
        <v>56</v>
      </c>
      <c r="G10" s="24" t="n">
        <v>98</v>
      </c>
      <c r="H10" s="24" t="n">
        <v>122</v>
      </c>
      <c r="I10" s="24" t="n">
        <f aca="false">O10</f>
        <v>85</v>
      </c>
      <c r="J10" s="24" t="n">
        <f aca="false">P10</f>
        <v>123</v>
      </c>
      <c r="K10" s="24" t="n">
        <f aca="false">Q10</f>
        <v>169</v>
      </c>
      <c r="L10" s="24" t="n">
        <f aca="false">R10</f>
        <v>58</v>
      </c>
      <c r="M10" s="24" t="n">
        <f aca="false">S10</f>
        <v>98</v>
      </c>
      <c r="N10" s="24" t="n">
        <f aca="false">T10</f>
        <v>123</v>
      </c>
      <c r="O10" s="24" t="n">
        <v>85</v>
      </c>
      <c r="P10" s="24" t="n">
        <v>123</v>
      </c>
      <c r="Q10" s="24" t="n">
        <v>169</v>
      </c>
      <c r="R10" s="24" t="n">
        <v>58</v>
      </c>
      <c r="S10" s="24" t="n">
        <v>98</v>
      </c>
      <c r="T10" s="24" t="n">
        <v>123</v>
      </c>
    </row>
    <row r="11" customFormat="false" ht="13.8" hidden="false" customHeight="false" outlineLevel="0" collapsed="false">
      <c r="B11" s="0" t="s">
        <v>137</v>
      </c>
      <c r="C11" s="24" t="n">
        <v>4</v>
      </c>
      <c r="D11" s="24" t="n">
        <v>6</v>
      </c>
      <c r="E11" s="24" t="n">
        <v>8</v>
      </c>
      <c r="F11" s="24" t="n">
        <v>4</v>
      </c>
      <c r="G11" s="24" t="n">
        <v>6</v>
      </c>
      <c r="H11" s="24" t="n">
        <v>8</v>
      </c>
      <c r="I11" s="24" t="n">
        <v>2</v>
      </c>
      <c r="J11" s="24" t="n">
        <v>3</v>
      </c>
      <c r="K11" s="24" t="n">
        <v>4</v>
      </c>
      <c r="L11" s="24" t="n">
        <v>2</v>
      </c>
      <c r="M11" s="24" t="n">
        <v>3</v>
      </c>
      <c r="N11" s="24" t="n">
        <v>4</v>
      </c>
      <c r="O11" s="24" t="n">
        <v>2</v>
      </c>
      <c r="P11" s="24" t="n">
        <v>3</v>
      </c>
      <c r="Q11" s="24" t="n">
        <v>4</v>
      </c>
      <c r="R11" s="24" t="n">
        <v>2</v>
      </c>
      <c r="S11" s="24" t="n">
        <v>3</v>
      </c>
      <c r="T11" s="24" t="n">
        <v>4</v>
      </c>
    </row>
    <row r="12" customFormat="false" ht="13.8" hidden="false" customHeight="false" outlineLevel="0" collapsed="false">
      <c r="B12" s="0" t="s">
        <v>138</v>
      </c>
      <c r="C12" s="24" t="n">
        <f aca="false">C15-C10-C11-C13-C14</f>
        <v>2805</v>
      </c>
      <c r="D12" s="24" t="n">
        <f aca="false">D15-D10-D11-D13-D14</f>
        <v>3608</v>
      </c>
      <c r="E12" s="24" t="n">
        <f aca="false">E15-E10-E11-E13-E14</f>
        <v>4701</v>
      </c>
      <c r="F12" s="24" t="n">
        <f aca="false">F15-F10-F11-F13-F14</f>
        <v>2231</v>
      </c>
      <c r="G12" s="24" t="n">
        <f aca="false">G15-G10-G11-G13-G14</f>
        <v>3463</v>
      </c>
      <c r="H12" s="24" t="n">
        <f aca="false">H15-H10-H11-H13-H14</f>
        <v>4288</v>
      </c>
      <c r="I12" s="24" t="n">
        <f aca="false">I15-I10</f>
        <v>2727</v>
      </c>
      <c r="J12" s="24" t="n">
        <f aca="false">J15-J10</f>
        <v>3902</v>
      </c>
      <c r="K12" s="24" t="n">
        <f aca="false">K15-K10</f>
        <v>5369</v>
      </c>
      <c r="L12" s="24" t="n">
        <f aca="false">L15-L10</f>
        <v>2360</v>
      </c>
      <c r="M12" s="24" t="n">
        <f aca="false">M15-M10</f>
        <v>3532</v>
      </c>
      <c r="N12" s="24" t="n">
        <f aca="false">N15-N10</f>
        <v>4371</v>
      </c>
      <c r="O12" s="24" t="n">
        <f aca="false">O15-O10</f>
        <v>2759</v>
      </c>
      <c r="P12" s="24" t="n">
        <f aca="false">P15-P10</f>
        <v>3941</v>
      </c>
      <c r="Q12" s="24" t="n">
        <f aca="false">Q15-Q10</f>
        <v>5413</v>
      </c>
      <c r="R12" s="24" t="n">
        <f aca="false">R15-R10</f>
        <v>2392</v>
      </c>
      <c r="S12" s="24" t="n">
        <f aca="false">S15-S10</f>
        <v>3565</v>
      </c>
      <c r="T12" s="24" t="n">
        <f aca="false">T15-T10</f>
        <v>4415</v>
      </c>
    </row>
    <row r="13" customFormat="false" ht="13.8" hidden="false" customHeight="false" outlineLevel="0" collapsed="false">
      <c r="B13" s="0" t="s">
        <v>139</v>
      </c>
      <c r="C13" s="24" t="n">
        <v>86</v>
      </c>
      <c r="D13" s="24" t="n">
        <v>123</v>
      </c>
      <c r="E13" s="24" t="n">
        <v>162</v>
      </c>
      <c r="F13" s="24" t="n">
        <v>71</v>
      </c>
      <c r="G13" s="24" t="n">
        <v>110</v>
      </c>
      <c r="H13" s="24" t="n">
        <v>135</v>
      </c>
      <c r="I13" s="24" t="n">
        <f aca="false">_xlfn.CEILING.MATH(724/64)</f>
        <v>12</v>
      </c>
      <c r="J13" s="24" t="n">
        <f aca="false">_xlfn.CEILING.MATH(1079/64)</f>
        <v>17</v>
      </c>
      <c r="K13" s="24" t="n">
        <f aca="false">_xlfn.CEILING.MATH(1477/64)</f>
        <v>24</v>
      </c>
      <c r="L13" s="24" t="n">
        <f aca="false">_xlfn.CEILING.MATH(604/64)</f>
        <v>10</v>
      </c>
      <c r="M13" s="24" t="n">
        <f aca="false">_xlfn.CEILING.MATH(910/64)</f>
        <v>15</v>
      </c>
      <c r="N13" s="24" t="n">
        <f aca="false">_xlfn.CEILING.MATH(1253/64)</f>
        <v>20</v>
      </c>
      <c r="O13" s="24" t="n">
        <f aca="false">I13</f>
        <v>12</v>
      </c>
      <c r="P13" s="24" t="n">
        <f aca="false">J13</f>
        <v>17</v>
      </c>
      <c r="Q13" s="24" t="n">
        <f aca="false">K13</f>
        <v>24</v>
      </c>
      <c r="R13" s="24" t="n">
        <f aca="false">L13</f>
        <v>10</v>
      </c>
      <c r="S13" s="24" t="n">
        <f aca="false">M13</f>
        <v>15</v>
      </c>
      <c r="T13" s="24" t="n">
        <f aca="false">N13</f>
        <v>20</v>
      </c>
    </row>
    <row r="14" customFormat="false" ht="13.8" hidden="false" customHeight="false" outlineLevel="0" collapsed="false">
      <c r="B14" s="0" t="s">
        <v>140</v>
      </c>
      <c r="C14" s="24" t="n">
        <v>2</v>
      </c>
      <c r="D14" s="24" t="n">
        <v>3</v>
      </c>
      <c r="E14" s="24" t="n">
        <v>4</v>
      </c>
      <c r="F14" s="24" t="n">
        <v>2</v>
      </c>
      <c r="G14" s="24" t="n">
        <v>3</v>
      </c>
      <c r="H14" s="24" t="n">
        <v>4</v>
      </c>
      <c r="I14" s="24" t="n">
        <v>2</v>
      </c>
      <c r="J14" s="24" t="n">
        <v>3</v>
      </c>
      <c r="K14" s="24" t="n">
        <v>4</v>
      </c>
      <c r="L14" s="24" t="n">
        <v>2</v>
      </c>
      <c r="M14" s="24" t="n">
        <v>3</v>
      </c>
      <c r="N14" s="24" t="n">
        <v>4</v>
      </c>
      <c r="O14" s="24"/>
      <c r="P14" s="24"/>
      <c r="Q14" s="24"/>
      <c r="R14" s="24"/>
      <c r="S14" s="24"/>
      <c r="T14" s="24"/>
    </row>
    <row r="15" customFormat="false" ht="13.8" hidden="false" customHeight="false" outlineLevel="0" collapsed="false">
      <c r="B15" s="0" t="s">
        <v>54</v>
      </c>
      <c r="C15" s="24" t="n">
        <v>2977</v>
      </c>
      <c r="D15" s="24" t="n">
        <v>3854</v>
      </c>
      <c r="E15" s="24" t="n">
        <v>5023</v>
      </c>
      <c r="F15" s="24" t="n">
        <v>2364</v>
      </c>
      <c r="G15" s="24" t="n">
        <v>3680</v>
      </c>
      <c r="H15" s="24" t="n">
        <v>4557</v>
      </c>
      <c r="I15" s="24" t="n">
        <f aca="false">O15-32</f>
        <v>2812</v>
      </c>
      <c r="J15" s="24" t="n">
        <f aca="false">P15-39</f>
        <v>4025</v>
      </c>
      <c r="K15" s="24" t="n">
        <f aca="false">Q15-44</f>
        <v>5538</v>
      </c>
      <c r="L15" s="24" t="n">
        <f aca="false">R15-32</f>
        <v>2418</v>
      </c>
      <c r="M15" s="24" t="n">
        <f aca="false">S15-33</f>
        <v>3630</v>
      </c>
      <c r="N15" s="24" t="n">
        <f aca="false">T15-44</f>
        <v>4494</v>
      </c>
      <c r="O15" s="24" t="n">
        <v>2844</v>
      </c>
      <c r="P15" s="24" t="n">
        <v>4064</v>
      </c>
      <c r="Q15" s="24" t="n">
        <v>5582</v>
      </c>
      <c r="R15" s="24" t="n">
        <v>2450</v>
      </c>
      <c r="S15" s="24" t="n">
        <v>3663</v>
      </c>
      <c r="T15" s="24" t="n">
        <v>4538</v>
      </c>
    </row>
    <row r="16" customFormat="false" ht="13.8" hidden="false" customHeight="false" outlineLevel="0" collapsed="false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customFormat="false" ht="13.8" hidden="false" customHeight="false" outlineLevel="0" collapsed="false">
      <c r="B17" s="0" t="s">
        <v>141</v>
      </c>
      <c r="C17" s="24" t="n">
        <v>2</v>
      </c>
      <c r="D17" s="24" t="n">
        <v>3</v>
      </c>
      <c r="E17" s="24" t="n">
        <v>4</v>
      </c>
      <c r="F17" s="24" t="n">
        <v>2</v>
      </c>
      <c r="G17" s="24" t="n">
        <v>3</v>
      </c>
      <c r="H17" s="24" t="n">
        <v>4</v>
      </c>
      <c r="I17" s="24" t="n">
        <f aca="false">O17</f>
        <v>89</v>
      </c>
      <c r="J17" s="24" t="n">
        <f aca="false">P17</f>
        <v>129</v>
      </c>
      <c r="K17" s="24" t="n">
        <f aca="false">Q17</f>
        <v>177</v>
      </c>
      <c r="L17" s="24" t="n">
        <f aca="false">R17</f>
        <v>62</v>
      </c>
      <c r="M17" s="24" t="n">
        <f aca="false">S17</f>
        <v>104</v>
      </c>
      <c r="N17" s="24" t="n">
        <f aca="false">T17</f>
        <v>131</v>
      </c>
      <c r="O17" s="24" t="n">
        <v>89</v>
      </c>
      <c r="P17" s="24" t="n">
        <v>129</v>
      </c>
      <c r="Q17" s="24" t="n">
        <v>177</v>
      </c>
      <c r="R17" s="24" t="n">
        <v>62</v>
      </c>
      <c r="S17" s="24" t="n">
        <v>104</v>
      </c>
      <c r="T17" s="24" t="n">
        <v>131</v>
      </c>
    </row>
    <row r="18" customFormat="false" ht="13.8" hidden="false" customHeight="false" outlineLevel="0" collapsed="false">
      <c r="B18" s="0" t="s">
        <v>142</v>
      </c>
      <c r="C18" s="24" t="n">
        <f aca="false">C19-C17</f>
        <v>1393</v>
      </c>
      <c r="D18" s="24" t="n">
        <f aca="false">D19-D17</f>
        <v>1780</v>
      </c>
      <c r="E18" s="24" t="n">
        <f aca="false">E19-E17</f>
        <v>2295</v>
      </c>
      <c r="F18" s="24" t="n">
        <f aca="false">F19-F17</f>
        <v>1137</v>
      </c>
      <c r="G18" s="24" t="n">
        <f aca="false">G19-G17</f>
        <v>1726</v>
      </c>
      <c r="H18" s="24" t="n">
        <f aca="false">H19-H17</f>
        <v>2123</v>
      </c>
      <c r="I18" s="24" t="n">
        <f aca="false">I19-I17</f>
        <v>3873</v>
      </c>
      <c r="J18" s="24" t="n">
        <f aca="false">J19-J17</f>
        <v>5578</v>
      </c>
      <c r="K18" s="24" t="n">
        <f aca="false">K19-K17</f>
        <v>7649</v>
      </c>
      <c r="L18" s="24" t="n">
        <f aca="false">L19-L17</f>
        <v>3362</v>
      </c>
      <c r="M18" s="24" t="n">
        <f aca="false">M19-M17</f>
        <v>5004</v>
      </c>
      <c r="N18" s="24" t="n">
        <f aca="false">N19-N17</f>
        <v>6236</v>
      </c>
      <c r="O18" s="24" t="n">
        <f aca="false">O19-O17</f>
        <v>3897</v>
      </c>
      <c r="P18" s="24" t="n">
        <f aca="false">P19-P17</f>
        <v>5602</v>
      </c>
      <c r="Q18" s="24" t="n">
        <f aca="false">Q19-Q17</f>
        <v>7673</v>
      </c>
      <c r="R18" s="24" t="n">
        <f aca="false">R19-R17</f>
        <v>3386</v>
      </c>
      <c r="S18" s="24" t="n">
        <f aca="false">S19-S17</f>
        <v>5028</v>
      </c>
      <c r="T18" s="24" t="n">
        <f aca="false">T19-T17</f>
        <v>6260</v>
      </c>
    </row>
    <row r="19" customFormat="false" ht="13.8" hidden="false" customHeight="false" outlineLevel="0" collapsed="false">
      <c r="B19" s="0" t="s">
        <v>54</v>
      </c>
      <c r="C19" s="24" t="n">
        <v>1395</v>
      </c>
      <c r="D19" s="24" t="n">
        <v>1783</v>
      </c>
      <c r="E19" s="24" t="n">
        <v>2299</v>
      </c>
      <c r="F19" s="24" t="n">
        <v>1139</v>
      </c>
      <c r="G19" s="24" t="n">
        <v>1729</v>
      </c>
      <c r="H19" s="24" t="n">
        <v>2127</v>
      </c>
      <c r="I19" s="24" t="n">
        <f aca="false">O19-24</f>
        <v>3962</v>
      </c>
      <c r="J19" s="24" t="n">
        <f aca="false">P19-24</f>
        <v>5707</v>
      </c>
      <c r="K19" s="24" t="n">
        <f aca="false">Q19-24</f>
        <v>7826</v>
      </c>
      <c r="L19" s="24" t="n">
        <f aca="false">R19-24</f>
        <v>3424</v>
      </c>
      <c r="M19" s="24" t="n">
        <f aca="false">S19-24</f>
        <v>5108</v>
      </c>
      <c r="N19" s="24" t="n">
        <f aca="false">T19-24</f>
        <v>6367</v>
      </c>
      <c r="O19" s="24" t="n">
        <v>3986</v>
      </c>
      <c r="P19" s="24" t="n">
        <v>5731</v>
      </c>
      <c r="Q19" s="24" t="n">
        <v>7850</v>
      </c>
      <c r="R19" s="24" t="n">
        <v>3448</v>
      </c>
      <c r="S19" s="24" t="n">
        <v>5132</v>
      </c>
      <c r="T19" s="24" t="n">
        <v>6391</v>
      </c>
    </row>
  </sheetData>
  <mergeCells count="11">
    <mergeCell ref="C6:N6"/>
    <mergeCell ref="O6:T6"/>
    <mergeCell ref="C7:H7"/>
    <mergeCell ref="I7:N7"/>
    <mergeCell ref="O7:T7"/>
    <mergeCell ref="C8:E8"/>
    <mergeCell ref="F8:H8"/>
    <mergeCell ref="I8:K8"/>
    <mergeCell ref="L8:N8"/>
    <mergeCell ref="O8:Q8"/>
    <mergeCell ref="R8:T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8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S90" activeCellId="0" sqref="S90:S101"/>
    </sheetView>
  </sheetViews>
  <sheetFormatPr defaultRowHeight="12.8" zeroHeight="false" outlineLevelRow="0" outlineLevelCol="0"/>
  <cols>
    <col collapsed="false" customWidth="true" hidden="false" outlineLevel="0" max="5" min="1" style="0" width="9.14"/>
    <col collapsed="false" customWidth="true" hidden="false" outlineLevel="0" max="6" min="6" style="0" width="13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121</v>
      </c>
      <c r="L1" s="1" t="s">
        <v>122</v>
      </c>
    </row>
    <row r="2" customFormat="false" ht="13.8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  <c r="K2" s="0" t="n">
        <v>0</v>
      </c>
      <c r="L2" s="0" t="n">
        <v>0</v>
      </c>
    </row>
    <row r="3" customFormat="false" ht="13.8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  <c r="K3" s="0" t="n">
        <v>0</v>
      </c>
      <c r="L3" s="0" t="n">
        <v>0</v>
      </c>
    </row>
    <row r="4" customFormat="false" ht="13.8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  <c r="K4" s="0" t="n">
        <v>0</v>
      </c>
      <c r="L4" s="0" t="n">
        <v>0</v>
      </c>
    </row>
    <row r="5" customFormat="false" ht="13.8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  <c r="K5" s="0" t="n">
        <v>0</v>
      </c>
      <c r="L5" s="0" t="n">
        <v>0</v>
      </c>
    </row>
    <row r="6" customFormat="false" ht="13.8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  <c r="K6" s="0" t="n">
        <v>0</v>
      </c>
      <c r="L6" s="0" t="n">
        <v>0</v>
      </c>
    </row>
    <row r="7" customFormat="false" ht="13.8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  <c r="K7" s="0" t="n">
        <v>0</v>
      </c>
      <c r="L7" s="0" t="n">
        <v>0</v>
      </c>
    </row>
    <row r="8" customFormat="false" ht="13.8" hidden="false" customHeight="false" outlineLevel="0" collapsed="false">
      <c r="A8" s="0" t="s">
        <v>75</v>
      </c>
      <c r="B8" s="0" t="n">
        <v>490</v>
      </c>
      <c r="C8" s="0" t="n">
        <v>10</v>
      </c>
      <c r="D8" s="0" t="n">
        <v>7</v>
      </c>
      <c r="E8" s="0" t="n">
        <v>3</v>
      </c>
      <c r="F8" s="0" t="n">
        <v>445</v>
      </c>
      <c r="G8" s="0" t="n">
        <v>16</v>
      </c>
      <c r="H8" s="0" t="n">
        <v>549</v>
      </c>
      <c r="I8" s="0" t="n">
        <v>16</v>
      </c>
      <c r="J8" s="0" t="n">
        <v>16</v>
      </c>
      <c r="K8" s="0" t="n">
        <v>11</v>
      </c>
      <c r="L8" s="0" t="n">
        <v>190</v>
      </c>
    </row>
    <row r="9" customFormat="false" ht="13.8" hidden="false" customHeight="false" outlineLevel="0" collapsed="false">
      <c r="A9" s="0" t="s">
        <v>76</v>
      </c>
      <c r="B9" s="0" t="n">
        <v>756</v>
      </c>
      <c r="C9" s="0" t="n">
        <v>12</v>
      </c>
      <c r="D9" s="0" t="n">
        <v>8</v>
      </c>
      <c r="E9" s="0" t="n">
        <v>2</v>
      </c>
      <c r="F9" s="0" t="n">
        <v>780</v>
      </c>
      <c r="G9" s="0" t="n">
        <v>24</v>
      </c>
      <c r="H9" s="0" t="n">
        <v>859</v>
      </c>
      <c r="I9" s="0" t="n">
        <v>24</v>
      </c>
      <c r="J9" s="0" t="n">
        <v>24</v>
      </c>
      <c r="K9" s="0" t="n">
        <v>13</v>
      </c>
      <c r="L9" s="0" t="n">
        <v>218</v>
      </c>
    </row>
    <row r="10" customFormat="false" ht="13.8" hidden="false" customHeight="false" outlineLevel="0" collapsed="false">
      <c r="A10" s="0" t="s">
        <v>77</v>
      </c>
      <c r="B10" s="0" t="n">
        <v>940</v>
      </c>
      <c r="C10" s="0" t="n">
        <v>12</v>
      </c>
      <c r="D10" s="0" t="n">
        <v>8</v>
      </c>
      <c r="E10" s="0" t="n">
        <v>2</v>
      </c>
      <c r="F10" s="0" t="n">
        <v>972</v>
      </c>
      <c r="G10" s="0" t="n">
        <v>32</v>
      </c>
      <c r="H10" s="0" t="n">
        <v>1063</v>
      </c>
      <c r="I10" s="0" t="n">
        <v>32</v>
      </c>
      <c r="J10" s="0" t="n">
        <v>32</v>
      </c>
      <c r="K10" s="0" t="n">
        <v>16</v>
      </c>
      <c r="L10" s="0" t="n">
        <v>234</v>
      </c>
    </row>
    <row r="11" customFormat="false" ht="13.8" hidden="false" customHeight="false" outlineLevel="0" collapsed="false">
      <c r="A11" s="0" t="s">
        <v>78</v>
      </c>
      <c r="B11" s="0" t="n">
        <v>508</v>
      </c>
      <c r="C11" s="0" t="n">
        <v>10</v>
      </c>
      <c r="D11" s="0" t="n">
        <v>7</v>
      </c>
      <c r="E11" s="0" t="n">
        <v>4</v>
      </c>
      <c r="F11" s="0" t="n">
        <v>461</v>
      </c>
      <c r="G11" s="0" t="n">
        <v>493</v>
      </c>
      <c r="H11" s="0" t="n">
        <v>0</v>
      </c>
      <c r="I11" s="0" t="n">
        <v>630</v>
      </c>
      <c r="J11" s="0" t="n">
        <v>16</v>
      </c>
      <c r="K11" s="0" t="n">
        <v>11</v>
      </c>
      <c r="L11" s="0" t="n">
        <v>190</v>
      </c>
    </row>
    <row r="12" customFormat="false" ht="13.8" hidden="false" customHeight="false" outlineLevel="0" collapsed="false">
      <c r="A12" s="0" t="s">
        <v>79</v>
      </c>
      <c r="B12" s="0" t="n">
        <v>756</v>
      </c>
      <c r="C12" s="0" t="n">
        <v>12</v>
      </c>
      <c r="D12" s="0" t="n">
        <v>8</v>
      </c>
      <c r="E12" s="0" t="n">
        <v>3</v>
      </c>
      <c r="F12" s="0" t="n">
        <v>780</v>
      </c>
      <c r="G12" s="0" t="n">
        <v>828</v>
      </c>
      <c r="H12" s="0" t="n">
        <v>0</v>
      </c>
      <c r="I12" s="0" t="n">
        <v>950</v>
      </c>
      <c r="J12" s="0" t="n">
        <v>24</v>
      </c>
      <c r="K12" s="0" t="n">
        <v>13</v>
      </c>
      <c r="L12" s="0" t="n">
        <v>218</v>
      </c>
    </row>
    <row r="13" customFormat="false" ht="13.8" hidden="false" customHeight="false" outlineLevel="0" collapsed="false">
      <c r="A13" s="0" t="s">
        <v>80</v>
      </c>
      <c r="B13" s="0" t="n">
        <v>946</v>
      </c>
      <c r="C13" s="0" t="n">
        <v>11</v>
      </c>
      <c r="D13" s="0" t="n">
        <v>8</v>
      </c>
      <c r="E13" s="0" t="n">
        <v>5</v>
      </c>
      <c r="F13" s="0" t="n">
        <v>978</v>
      </c>
      <c r="G13" s="0" t="n">
        <v>1042</v>
      </c>
      <c r="H13" s="0" t="n">
        <v>0</v>
      </c>
      <c r="I13" s="0" t="n">
        <v>1301</v>
      </c>
      <c r="J13" s="0" t="n">
        <v>32</v>
      </c>
      <c r="K13" s="0" t="n">
        <v>16</v>
      </c>
      <c r="L13" s="0" t="n">
        <v>234</v>
      </c>
    </row>
    <row r="16" customFormat="false" ht="13.8" hidden="false" customHeight="false" outlineLevel="0" collapsed="false">
      <c r="A16" s="1" t="s">
        <v>16</v>
      </c>
      <c r="B16" s="1" t="s">
        <v>17</v>
      </c>
      <c r="C16" s="1" t="s">
        <v>18</v>
      </c>
      <c r="D16" s="1" t="s">
        <v>19</v>
      </c>
      <c r="E16" s="1" t="s">
        <v>20</v>
      </c>
      <c r="F16" s="1" t="s">
        <v>21</v>
      </c>
      <c r="G16" s="1" t="s">
        <v>22</v>
      </c>
      <c r="H16" s="1" t="s">
        <v>23</v>
      </c>
      <c r="I16" s="21" t="s">
        <v>123</v>
      </c>
      <c r="K16" s="2" t="s">
        <v>24</v>
      </c>
      <c r="L16" s="2" t="s">
        <v>25</v>
      </c>
    </row>
    <row r="17" customFormat="false" ht="13.8" hidden="false" customHeight="false" outlineLevel="0" collapsed="false">
      <c r="A17" s="0" t="str">
        <f aca="false">A2</f>
        <v>1KEM_0d</v>
      </c>
      <c r="B17" s="0" t="n">
        <f aca="false">_xlfn.CEILING.MATH(B2*C2/64)</f>
        <v>107</v>
      </c>
      <c r="C17" s="0" t="n">
        <f aca="false">_xlfn.CEILING.MATH(B2*D2/64)</f>
        <v>78</v>
      </c>
      <c r="D17" s="0" t="n">
        <f aca="false">_xlfn.CEILING.MATH(B2*2/64)</f>
        <v>20</v>
      </c>
      <c r="E17" s="0" t="n">
        <f aca="false">_xlfn.CEILING.MATH(E2*J2*8/64)</f>
        <v>8</v>
      </c>
      <c r="F17" s="0" t="n">
        <f aca="false">_xlfn.CEILING.MATH(J2*8/64)</f>
        <v>2</v>
      </c>
      <c r="G17" s="0" t="n">
        <f aca="false">_xlfn.CEILING.MATH(G2*8/64)</f>
        <v>2</v>
      </c>
      <c r="H17" s="0" t="n">
        <f aca="false">_xlfn.CEILING.MATH(J2*8/64)</f>
        <v>2</v>
      </c>
      <c r="I17" s="0" t="n">
        <f aca="false">_xlfn.CEILING.MATH(L2*8/64)</f>
        <v>0</v>
      </c>
      <c r="K17" s="0" t="n">
        <f aca="false">4*B2+10</f>
        <v>2482</v>
      </c>
      <c r="L17" s="0" t="n">
        <f aca="false">2*B2+7</f>
        <v>1243</v>
      </c>
    </row>
    <row r="18" customFormat="false" ht="13.8" hidden="false" customHeight="false" outlineLevel="0" collapsed="false">
      <c r="A18" s="0" t="str">
        <f aca="false">A3</f>
        <v>3KEM_0d</v>
      </c>
      <c r="B18" s="0" t="n">
        <f aca="false">_xlfn.CEILING.MATH(B3*C3/64)</f>
        <v>160</v>
      </c>
      <c r="C18" s="0" t="n">
        <f aca="false">_xlfn.CEILING.MATH(B3*D3/64)</f>
        <v>111</v>
      </c>
      <c r="D18" s="0" t="n">
        <f aca="false">_xlfn.CEILING.MATH(B3*2/64)</f>
        <v>25</v>
      </c>
      <c r="E18" s="0" t="n">
        <f aca="false">_xlfn.CEILING.MATH(E3*J3*8/64)</f>
        <v>12</v>
      </c>
      <c r="F18" s="0" t="n">
        <f aca="false">_xlfn.CEILING.MATH(J3*8/64)</f>
        <v>3</v>
      </c>
      <c r="G18" s="0" t="n">
        <f aca="false">_xlfn.CEILING.MATH(G3*8/64)</f>
        <v>3</v>
      </c>
      <c r="H18" s="0" t="n">
        <f aca="false">_xlfn.CEILING.MATH(J3*8/64)</f>
        <v>3</v>
      </c>
      <c r="I18" s="0" t="n">
        <f aca="false">_xlfn.CEILING.MATH(L3*8/64)</f>
        <v>0</v>
      </c>
      <c r="K18" s="0" t="n">
        <f aca="false">4*B3+10</f>
        <v>3154</v>
      </c>
      <c r="L18" s="0" t="n">
        <f aca="false">2*B3+7</f>
        <v>1579</v>
      </c>
    </row>
    <row r="19" customFormat="false" ht="13.8" hidden="false" customHeight="false" outlineLevel="0" collapsed="false">
      <c r="A19" s="0" t="str">
        <f aca="false">A4</f>
        <v>5KEM_0d</v>
      </c>
      <c r="B19" s="0" t="n">
        <f aca="false">_xlfn.CEILING.MATH(B4*C4/64)</f>
        <v>223</v>
      </c>
      <c r="C19" s="0" t="n">
        <f aca="false">_xlfn.CEILING.MATH(B4*D4/64)</f>
        <v>144</v>
      </c>
      <c r="D19" s="0" t="n">
        <f aca="false">_xlfn.CEILING.MATH(B4*2/64)</f>
        <v>32</v>
      </c>
      <c r="E19" s="0" t="n">
        <f aca="false">_xlfn.CEILING.MATH(E4*J4*8/64)</f>
        <v>16</v>
      </c>
      <c r="F19" s="0" t="n">
        <f aca="false">_xlfn.CEILING.MATH(J4*8/64)</f>
        <v>4</v>
      </c>
      <c r="G19" s="0" t="n">
        <f aca="false">_xlfn.CEILING.MATH(G4*8/64)</f>
        <v>4</v>
      </c>
      <c r="H19" s="0" t="n">
        <f aca="false">_xlfn.CEILING.MATH(J4*8/64)</f>
        <v>4</v>
      </c>
      <c r="I19" s="0" t="n">
        <f aca="false">_xlfn.CEILING.MATH(L4*8/64)</f>
        <v>0</v>
      </c>
      <c r="K19" s="0" t="n">
        <f aca="false">4*B4+10</f>
        <v>4082</v>
      </c>
      <c r="L19" s="0" t="n">
        <f aca="false">2*B4+7</f>
        <v>2043</v>
      </c>
    </row>
    <row r="20" customFormat="false" ht="13.8" hidden="false" customHeight="false" outlineLevel="0" collapsed="false">
      <c r="A20" s="0" t="str">
        <f aca="false">A5</f>
        <v>1PKE_0d</v>
      </c>
      <c r="B20" s="0" t="n">
        <f aca="false">_xlfn.CEILING.MATH(B5*C5/64)</f>
        <v>120</v>
      </c>
      <c r="C20" s="0" t="n">
        <f aca="false">_xlfn.CEILING.MATH(B5*D5/64)</f>
        <v>83</v>
      </c>
      <c r="D20" s="0" t="n">
        <f aca="false">_xlfn.CEILING.MATH(B5*2/64)</f>
        <v>19</v>
      </c>
      <c r="E20" s="0" t="n">
        <f aca="false">_xlfn.CEILING.MATH(E5*J5*8/64)</f>
        <v>8</v>
      </c>
      <c r="F20" s="0" t="n">
        <f aca="false">_xlfn.CEILING.MATH(J5*8/64)</f>
        <v>2</v>
      </c>
      <c r="G20" s="0" t="n">
        <f aca="false">_xlfn.CEILING.MATH(G5*8/64)</f>
        <v>89</v>
      </c>
      <c r="H20" s="0" t="n">
        <f aca="false">_xlfn.CEILING.MATH(J5*8/64)</f>
        <v>2</v>
      </c>
      <c r="I20" s="0" t="n">
        <f aca="false">_xlfn.CEILING.MATH(L5*8/64)</f>
        <v>0</v>
      </c>
      <c r="K20" s="0" t="n">
        <f aca="false">4*B5+10</f>
        <v>2354</v>
      </c>
      <c r="L20" s="0" t="n">
        <f aca="false">2*B5+7</f>
        <v>1179</v>
      </c>
    </row>
    <row r="21" customFormat="false" ht="13.8" hidden="false" customHeight="false" outlineLevel="0" collapsed="false">
      <c r="A21" s="0" t="str">
        <f aca="false">A6</f>
        <v>3PKE_0d</v>
      </c>
      <c r="B21" s="0" t="n">
        <f aca="false">_xlfn.CEILING.MATH(B6*C6/64)</f>
        <v>160</v>
      </c>
      <c r="C21" s="0" t="n">
        <f aca="false">_xlfn.CEILING.MATH(B6*D6/64)</f>
        <v>120</v>
      </c>
      <c r="D21" s="0" t="n">
        <f aca="false">_xlfn.CEILING.MATH(B6*2/64)</f>
        <v>27</v>
      </c>
      <c r="E21" s="0" t="n">
        <f aca="false">_xlfn.CEILING.MATH(E6*J6*8/64)</f>
        <v>15</v>
      </c>
      <c r="F21" s="0" t="n">
        <f aca="false">_xlfn.CEILING.MATH(J6*8/64)</f>
        <v>3</v>
      </c>
      <c r="G21" s="0" t="n">
        <f aca="false">_xlfn.CEILING.MATH(G6*8/64)</f>
        <v>129</v>
      </c>
      <c r="H21" s="0" t="n">
        <f aca="false">_xlfn.CEILING.MATH(J6*8/64)</f>
        <v>3</v>
      </c>
      <c r="I21" s="0" t="n">
        <f aca="false">_xlfn.CEILING.MATH(L6*8/64)</f>
        <v>0</v>
      </c>
      <c r="K21" s="0" t="n">
        <f aca="false">4*B6+10</f>
        <v>3418</v>
      </c>
      <c r="L21" s="0" t="n">
        <f aca="false">2*B6+7</f>
        <v>1711</v>
      </c>
    </row>
    <row r="22" customFormat="false" ht="13.8" hidden="false" customHeight="false" outlineLevel="0" collapsed="false">
      <c r="A22" s="0" t="str">
        <f aca="false">A7</f>
        <v>5PKE_0d</v>
      </c>
      <c r="B22" s="0" t="n">
        <f aca="false">_xlfn.CEILING.MATH(B7*C7/64)</f>
        <v>238</v>
      </c>
      <c r="C22" s="0" t="n">
        <f aca="false">_xlfn.CEILING.MATH(B7*D7/64)</f>
        <v>165</v>
      </c>
      <c r="D22" s="0" t="n">
        <f aca="false">_xlfn.CEILING.MATH(B7*2/64)</f>
        <v>37</v>
      </c>
      <c r="E22" s="0" t="n">
        <f aca="false">_xlfn.CEILING.MATH(E7*J7*8/64)</f>
        <v>20</v>
      </c>
      <c r="F22" s="0" t="n">
        <f aca="false">_xlfn.CEILING.MATH(J7*8/64)</f>
        <v>4</v>
      </c>
      <c r="G22" s="0" t="n">
        <f aca="false">_xlfn.CEILING.MATH(G7*8/64)</f>
        <v>177</v>
      </c>
      <c r="H22" s="0" t="n">
        <f aca="false">_xlfn.CEILING.MATH(J7*8/64)</f>
        <v>4</v>
      </c>
      <c r="I22" s="0" t="n">
        <f aca="false">_xlfn.CEILING.MATH(L7*8/64)</f>
        <v>0</v>
      </c>
      <c r="K22" s="0" t="n">
        <f aca="false">4*B7+10</f>
        <v>4690</v>
      </c>
      <c r="L22" s="0" t="n">
        <f aca="false">2*B7+7</f>
        <v>2347</v>
      </c>
    </row>
    <row r="23" customFormat="false" ht="13.8" hidden="false" customHeight="false" outlineLevel="0" collapsed="false">
      <c r="A23" s="0" t="str">
        <f aca="false">A8</f>
        <v>1KEM_5d</v>
      </c>
      <c r="B23" s="0" t="n">
        <f aca="false">_xlfn.CEILING.MATH(B8*C8/64)</f>
        <v>77</v>
      </c>
      <c r="C23" s="0" t="n">
        <f aca="false">_xlfn.CEILING.MATH(B8*D8/64)</f>
        <v>54</v>
      </c>
      <c r="D23" s="0" t="n">
        <f aca="false">_xlfn.CEILING.MATH(B8*2/64)</f>
        <v>16</v>
      </c>
      <c r="E23" s="0" t="n">
        <f aca="false">_xlfn.CEILING.MATH(E8*J8*8/64)</f>
        <v>6</v>
      </c>
      <c r="F23" s="0" t="n">
        <f aca="false">_xlfn.CEILING.MATH(J8*8/64)</f>
        <v>2</v>
      </c>
      <c r="G23" s="0" t="n">
        <f aca="false">_xlfn.CEILING.MATH(G8*8/64)</f>
        <v>2</v>
      </c>
      <c r="H23" s="0" t="n">
        <f aca="false">_xlfn.CEILING.MATH(J8*8/64)</f>
        <v>2</v>
      </c>
      <c r="I23" s="0" t="n">
        <f aca="false">_xlfn.CEILING.MATH(L8*8/64)</f>
        <v>24</v>
      </c>
      <c r="K23" s="0" t="n">
        <f aca="false">4*B8+10</f>
        <v>1970</v>
      </c>
      <c r="L23" s="0" t="n">
        <f aca="false">2*B8+7</f>
        <v>987</v>
      </c>
    </row>
    <row r="24" customFormat="false" ht="13.8" hidden="false" customHeight="false" outlineLevel="0" collapsed="false">
      <c r="A24" s="0" t="str">
        <f aca="false">A9</f>
        <v>3KEM_5d</v>
      </c>
      <c r="B24" s="0" t="n">
        <f aca="false">_xlfn.CEILING.MATH(B9*C9/64)</f>
        <v>142</v>
      </c>
      <c r="C24" s="0" t="n">
        <f aca="false">_xlfn.CEILING.MATH(B9*D9/64)</f>
        <v>95</v>
      </c>
      <c r="D24" s="0" t="n">
        <f aca="false">_xlfn.CEILING.MATH(B9*2/64)</f>
        <v>24</v>
      </c>
      <c r="E24" s="0" t="n">
        <f aca="false">_xlfn.CEILING.MATH(E9*J9*8/64)</f>
        <v>6</v>
      </c>
      <c r="F24" s="0" t="n">
        <f aca="false">_xlfn.CEILING.MATH(J9*8/64)</f>
        <v>3</v>
      </c>
      <c r="G24" s="0" t="n">
        <f aca="false">_xlfn.CEILING.MATH(G9*8/64)</f>
        <v>3</v>
      </c>
      <c r="H24" s="0" t="n">
        <f aca="false">_xlfn.CEILING.MATH(J9*8/64)</f>
        <v>3</v>
      </c>
      <c r="I24" s="0" t="n">
        <f aca="false">_xlfn.CEILING.MATH(L9*8/64)</f>
        <v>28</v>
      </c>
      <c r="K24" s="0" t="n">
        <f aca="false">4*B9+10</f>
        <v>3034</v>
      </c>
      <c r="L24" s="0" t="n">
        <f aca="false">2*B9+7</f>
        <v>1519</v>
      </c>
    </row>
    <row r="25" customFormat="false" ht="13.8" hidden="false" customHeight="false" outlineLevel="0" collapsed="false">
      <c r="A25" s="0" t="str">
        <f aca="false">A10</f>
        <v>5KEM_5d</v>
      </c>
      <c r="B25" s="0" t="n">
        <f aca="false">_xlfn.CEILING.MATH(B10*C10/64)</f>
        <v>177</v>
      </c>
      <c r="C25" s="0" t="n">
        <f aca="false">_xlfn.CEILING.MATH(B10*D10/64)</f>
        <v>118</v>
      </c>
      <c r="D25" s="0" t="n">
        <f aca="false">_xlfn.CEILING.MATH(B10*2/64)</f>
        <v>30</v>
      </c>
      <c r="E25" s="0" t="n">
        <f aca="false">_xlfn.CEILING.MATH(E10*J10*8/64)</f>
        <v>8</v>
      </c>
      <c r="F25" s="0" t="n">
        <f aca="false">_xlfn.CEILING.MATH(J10*8/64)</f>
        <v>4</v>
      </c>
      <c r="G25" s="0" t="n">
        <f aca="false">_xlfn.CEILING.MATH(G10*8/64)</f>
        <v>4</v>
      </c>
      <c r="H25" s="0" t="n">
        <f aca="false">_xlfn.CEILING.MATH(J10*8/64)</f>
        <v>4</v>
      </c>
      <c r="I25" s="0" t="n">
        <f aca="false">_xlfn.CEILING.MATH(L10*8/64)</f>
        <v>30</v>
      </c>
      <c r="K25" s="0" t="n">
        <f aca="false">4*B10+10</f>
        <v>3770</v>
      </c>
      <c r="L25" s="0" t="n">
        <f aca="false">2*B10+7</f>
        <v>1887</v>
      </c>
    </row>
    <row r="26" customFormat="false" ht="13.8" hidden="false" customHeight="false" outlineLevel="0" collapsed="false">
      <c r="A26" s="0" t="str">
        <f aca="false">A11</f>
        <v>1PKE_5d</v>
      </c>
      <c r="B26" s="0" t="n">
        <f aca="false">_xlfn.CEILING.MATH(B11*C11/64)</f>
        <v>80</v>
      </c>
      <c r="C26" s="0" t="n">
        <f aca="false">_xlfn.CEILING.MATH(B11*D11/64)</f>
        <v>56</v>
      </c>
      <c r="D26" s="0" t="n">
        <f aca="false">_xlfn.CEILING.MATH(B11*2/64)</f>
        <v>16</v>
      </c>
      <c r="E26" s="0" t="n">
        <f aca="false">_xlfn.CEILING.MATH(E11*J11*8/64)</f>
        <v>8</v>
      </c>
      <c r="F26" s="0" t="n">
        <f aca="false">_xlfn.CEILING.MATH(J11*8/64)</f>
        <v>2</v>
      </c>
      <c r="G26" s="0" t="n">
        <f aca="false">_xlfn.CEILING.MATH(G11*8/64)</f>
        <v>62</v>
      </c>
      <c r="H26" s="0" t="n">
        <f aca="false">_xlfn.CEILING.MATH(J11*8/64)</f>
        <v>2</v>
      </c>
      <c r="I26" s="0" t="n">
        <f aca="false">_xlfn.CEILING.MATH(L11*8/64)</f>
        <v>24</v>
      </c>
      <c r="K26" s="0" t="n">
        <f aca="false">4*B11+10</f>
        <v>2042</v>
      </c>
      <c r="L26" s="0" t="n">
        <f aca="false">2*B11+7</f>
        <v>1023</v>
      </c>
    </row>
    <row r="27" customFormat="false" ht="13.8" hidden="false" customHeight="false" outlineLevel="0" collapsed="false">
      <c r="A27" s="0" t="str">
        <f aca="false">A12</f>
        <v>3PKE_5d</v>
      </c>
      <c r="B27" s="0" t="n">
        <f aca="false">_xlfn.CEILING.MATH(B12*C12/64)</f>
        <v>142</v>
      </c>
      <c r="C27" s="0" t="n">
        <f aca="false">_xlfn.CEILING.MATH(B12*D12/64)</f>
        <v>95</v>
      </c>
      <c r="D27" s="0" t="n">
        <f aca="false">_xlfn.CEILING.MATH(B12*2/64)</f>
        <v>24</v>
      </c>
      <c r="E27" s="0" t="n">
        <f aca="false">_xlfn.CEILING.MATH(E12*J12*8/64)</f>
        <v>9</v>
      </c>
      <c r="F27" s="0" t="n">
        <f aca="false">_xlfn.CEILING.MATH(J12*8/64)</f>
        <v>3</v>
      </c>
      <c r="G27" s="0" t="n">
        <f aca="false">_xlfn.CEILING.MATH(G12*8/64)</f>
        <v>104</v>
      </c>
      <c r="H27" s="0" t="n">
        <f aca="false">_xlfn.CEILING.MATH(J12*8/64)</f>
        <v>3</v>
      </c>
      <c r="I27" s="0" t="n">
        <f aca="false">_xlfn.CEILING.MATH(L12*8/64)</f>
        <v>28</v>
      </c>
      <c r="K27" s="0" t="n">
        <f aca="false">4*B12+10</f>
        <v>3034</v>
      </c>
      <c r="L27" s="0" t="n">
        <f aca="false">2*B12+7</f>
        <v>1519</v>
      </c>
    </row>
    <row r="28" customFormat="false" ht="13.8" hidden="false" customHeight="false" outlineLevel="0" collapsed="false">
      <c r="A28" s="0" t="str">
        <f aca="false">A13</f>
        <v>5PKE_5d</v>
      </c>
      <c r="B28" s="0" t="n">
        <f aca="false">_xlfn.CEILING.MATH(B13*C13/64)</f>
        <v>163</v>
      </c>
      <c r="C28" s="0" t="n">
        <f aca="false">_xlfn.CEILING.MATH(B13*D13/64)</f>
        <v>119</v>
      </c>
      <c r="D28" s="0" t="n">
        <f aca="false">_xlfn.CEILING.MATH(B13*2/64)</f>
        <v>30</v>
      </c>
      <c r="E28" s="0" t="n">
        <f aca="false">_xlfn.CEILING.MATH(E13*J13*8/64)</f>
        <v>20</v>
      </c>
      <c r="F28" s="0" t="n">
        <f aca="false">_xlfn.CEILING.MATH(J13*8/64)</f>
        <v>4</v>
      </c>
      <c r="G28" s="0" t="n">
        <f aca="false">_xlfn.CEILING.MATH(G13*8/64)</f>
        <v>131</v>
      </c>
      <c r="H28" s="0" t="n">
        <f aca="false">_xlfn.CEILING.MATH(J13*8/64)</f>
        <v>4</v>
      </c>
      <c r="I28" s="0" t="n">
        <f aca="false">_xlfn.CEILING.MATH(L13*8/64)</f>
        <v>30</v>
      </c>
      <c r="K28" s="0" t="n">
        <f aca="false">4*B13+10</f>
        <v>3794</v>
      </c>
      <c r="L28" s="0" t="n">
        <f aca="false">2*B13+7</f>
        <v>1899</v>
      </c>
    </row>
    <row r="33" customFormat="false" ht="12.8" hidden="false" customHeight="false" outlineLevel="0" collapsed="false">
      <c r="D33" s="0" t="s">
        <v>143</v>
      </c>
    </row>
    <row r="35" customFormat="false" ht="12.8" hidden="false" customHeight="false" outlineLevel="0" collapsed="false">
      <c r="D35" s="0" t="s">
        <v>33</v>
      </c>
    </row>
    <row r="36" customFormat="false" ht="13.8" hidden="false" customHeight="false" outlineLevel="0" collapsed="false">
      <c r="C36" s="0" t="str">
        <f aca="false">A17</f>
        <v>1KEM_0d</v>
      </c>
      <c r="D36" s="0" t="n">
        <f aca="false">H17</f>
        <v>2</v>
      </c>
      <c r="E36" s="0" t="s">
        <v>60</v>
      </c>
      <c r="F36" s="0" t="s">
        <v>35</v>
      </c>
      <c r="G36" s="0" t="s">
        <v>144</v>
      </c>
      <c r="H36" s="0" t="s">
        <v>145</v>
      </c>
      <c r="I36" s="0" t="s">
        <v>146</v>
      </c>
    </row>
    <row r="37" customFormat="false" ht="13.8" hidden="false" customHeight="false" outlineLevel="0" collapsed="false">
      <c r="C37" s="0" t="str">
        <f aca="false">A18</f>
        <v>3KEM_0d</v>
      </c>
      <c r="D37" s="0" t="n">
        <f aca="false">H18</f>
        <v>3</v>
      </c>
      <c r="E37" s="0" t="n">
        <f aca="false">_xlfn.CEILING.MATH(B2*C2/1088)*24</f>
        <v>168</v>
      </c>
      <c r="F37" s="0" t="n">
        <f aca="false">C17</f>
        <v>78</v>
      </c>
      <c r="G37" s="0" t="n">
        <f aca="false">F17</f>
        <v>2</v>
      </c>
      <c r="H37" s="0" t="n">
        <f aca="false">H17</f>
        <v>2</v>
      </c>
      <c r="I37" s="0" t="n">
        <f aca="false">I17</f>
        <v>0</v>
      </c>
      <c r="J37" s="0" t="s">
        <v>61</v>
      </c>
      <c r="K37" s="0" t="s">
        <v>39</v>
      </c>
    </row>
    <row r="38" customFormat="false" ht="13.8" hidden="false" customHeight="false" outlineLevel="0" collapsed="false">
      <c r="C38" s="0" t="str">
        <f aca="false">A19</f>
        <v>5KEM_0d</v>
      </c>
      <c r="D38" s="0" t="n">
        <f aca="false">H19</f>
        <v>4</v>
      </c>
      <c r="E38" s="0" t="n">
        <f aca="false">_xlfn.CEILING.MATH(B3*C3/1088)*24</f>
        <v>240</v>
      </c>
      <c r="F38" s="0" t="n">
        <f aca="false">C18</f>
        <v>111</v>
      </c>
      <c r="G38" s="0" t="n">
        <f aca="false">F18</f>
        <v>3</v>
      </c>
      <c r="H38" s="0" t="n">
        <f aca="false">H18</f>
        <v>3</v>
      </c>
      <c r="I38" s="0" t="n">
        <f aca="false">I18</f>
        <v>0</v>
      </c>
      <c r="J38" s="0" t="n">
        <f aca="false">_xlfn.CEILING.MATH(B2*2/1088)*24</f>
        <v>48</v>
      </c>
      <c r="K38" s="0" t="n">
        <f aca="false">_xlfn.CEILING.MATH(B2*C2/64)</f>
        <v>107</v>
      </c>
      <c r="L38" s="0" t="s">
        <v>62</v>
      </c>
    </row>
    <row r="39" customFormat="false" ht="13.8" hidden="false" customHeight="false" outlineLevel="0" collapsed="false">
      <c r="C39" s="0" t="str">
        <f aca="false">A20</f>
        <v>1PKE_0d</v>
      </c>
      <c r="D39" s="0" t="n">
        <f aca="false">H20</f>
        <v>2</v>
      </c>
      <c r="E39" s="0" t="n">
        <f aca="false">_xlfn.CEILING.MATH(B4*C4/1088)*24</f>
        <v>336</v>
      </c>
      <c r="F39" s="0" t="n">
        <f aca="false">C19</f>
        <v>144</v>
      </c>
      <c r="G39" s="0" t="n">
        <f aca="false">F19</f>
        <v>4</v>
      </c>
      <c r="H39" s="0" t="n">
        <f aca="false">H19</f>
        <v>4</v>
      </c>
      <c r="I39" s="0" t="n">
        <f aca="false">I19</f>
        <v>0</v>
      </c>
      <c r="J39" s="0" t="n">
        <f aca="false">_xlfn.CEILING.MATH(B3*2/1088)*24</f>
        <v>48</v>
      </c>
      <c r="K39" s="0" t="n">
        <f aca="false">_xlfn.CEILING.MATH(B3*C3/64)</f>
        <v>160</v>
      </c>
      <c r="L39" s="0" t="n">
        <f aca="false">_xlfn.CEILING.MATH(B2*2/64)</f>
        <v>20</v>
      </c>
      <c r="M39" s="0" t="s">
        <v>147</v>
      </c>
    </row>
    <row r="40" customFormat="false" ht="13.8" hidden="false" customHeight="false" outlineLevel="0" collapsed="false">
      <c r="C40" s="0" t="str">
        <f aca="false">A21</f>
        <v>3PKE_0d</v>
      </c>
      <c r="D40" s="0" t="n">
        <f aca="false">H21</f>
        <v>3</v>
      </c>
      <c r="E40" s="0" t="n">
        <f aca="false">_xlfn.CEILING.MATH(B5*C5/1088)*24</f>
        <v>192</v>
      </c>
      <c r="F40" s="0" t="n">
        <f aca="false">C20</f>
        <v>83</v>
      </c>
      <c r="G40" s="0" t="n">
        <f aca="false">F20</f>
        <v>2</v>
      </c>
      <c r="H40" s="0" t="n">
        <f aca="false">H20</f>
        <v>2</v>
      </c>
      <c r="I40" s="0" t="n">
        <f aca="false">I20</f>
        <v>0</v>
      </c>
      <c r="J40" s="0" t="n">
        <f aca="false">_xlfn.CEILING.MATH(B4*2/1088)*24</f>
        <v>48</v>
      </c>
      <c r="K40" s="0" t="n">
        <f aca="false">_xlfn.CEILING.MATH(B4*C4/64)</f>
        <v>223</v>
      </c>
      <c r="L40" s="0" t="n">
        <f aca="false">_xlfn.CEILING.MATH(B3*2/64)</f>
        <v>25</v>
      </c>
      <c r="M40" s="0" t="e">
        <f aca="false">_xlfn.CEILING.MATH(J2*8/K2)</f>
        <v>#DIV/0!</v>
      </c>
      <c r="N40" s="0" t="s">
        <v>148</v>
      </c>
      <c r="O40" s="0" t="s">
        <v>45</v>
      </c>
    </row>
    <row r="41" customFormat="false" ht="13.8" hidden="false" customHeight="false" outlineLevel="0" collapsed="false">
      <c r="C41" s="0" t="str">
        <f aca="false">A22</f>
        <v>5PKE_0d</v>
      </c>
      <c r="D41" s="0" t="n">
        <f aca="false">H22</f>
        <v>4</v>
      </c>
      <c r="E41" s="0" t="n">
        <f aca="false">_xlfn.CEILING.MATH(B6*C6/1088)*24</f>
        <v>240</v>
      </c>
      <c r="F41" s="0" t="n">
        <f aca="false">C21</f>
        <v>120</v>
      </c>
      <c r="G41" s="0" t="n">
        <f aca="false">F21</f>
        <v>3</v>
      </c>
      <c r="H41" s="0" t="n">
        <f aca="false">H21</f>
        <v>3</v>
      </c>
      <c r="I41" s="0" t="n">
        <f aca="false">I21</f>
        <v>0</v>
      </c>
      <c r="J41" s="0" t="n">
        <f aca="false">_xlfn.CEILING.MATH(B5*2/1088)*24</f>
        <v>48</v>
      </c>
      <c r="K41" s="0" t="n">
        <f aca="false">_xlfn.CEILING.MATH(B5*C5/64)</f>
        <v>120</v>
      </c>
      <c r="L41" s="0" t="n">
        <f aca="false">_xlfn.CEILING.MATH(B4*2/64)</f>
        <v>32</v>
      </c>
      <c r="M41" s="0" t="e">
        <f aca="false">_xlfn.CEILING.MATH(J3*8/K3)</f>
        <v>#DIV/0!</v>
      </c>
      <c r="N41" s="0" t="n">
        <f aca="false">_xlfn.CEILING.MATH(L2/64)</f>
        <v>0</v>
      </c>
      <c r="O41" s="0" t="n">
        <f aca="false">K17</f>
        <v>2482</v>
      </c>
      <c r="P41" s="25" t="s">
        <v>149</v>
      </c>
    </row>
    <row r="42" customFormat="false" ht="13.8" hidden="false" customHeight="false" outlineLevel="0" collapsed="false">
      <c r="C42" s="0" t="str">
        <f aca="false">A23</f>
        <v>1KEM_5d</v>
      </c>
      <c r="D42" s="0" t="n">
        <f aca="false">H23</f>
        <v>2</v>
      </c>
      <c r="E42" s="0" t="n">
        <f aca="false">_xlfn.CEILING.MATH(B7*C7/1088)*24</f>
        <v>336</v>
      </c>
      <c r="F42" s="0" t="n">
        <f aca="false">C22</f>
        <v>165</v>
      </c>
      <c r="G42" s="0" t="n">
        <f aca="false">F22</f>
        <v>4</v>
      </c>
      <c r="H42" s="0" t="n">
        <f aca="false">H22</f>
        <v>4</v>
      </c>
      <c r="I42" s="0" t="n">
        <f aca="false">I22</f>
        <v>0</v>
      </c>
      <c r="J42" s="0" t="n">
        <f aca="false">_xlfn.CEILING.MATH(B6*2/1088)*24</f>
        <v>48</v>
      </c>
      <c r="K42" s="0" t="n">
        <f aca="false">_xlfn.CEILING.MATH(B6*C6/64)</f>
        <v>160</v>
      </c>
      <c r="L42" s="0" t="n">
        <f aca="false">_xlfn.CEILING.MATH(B5*2/64)</f>
        <v>19</v>
      </c>
      <c r="M42" s="0" t="e">
        <f aca="false">_xlfn.CEILING.MATH(J4*8/K4)</f>
        <v>#DIV/0!</v>
      </c>
      <c r="N42" s="0" t="n">
        <f aca="false">_xlfn.CEILING.MATH(L3/64)</f>
        <v>0</v>
      </c>
      <c r="O42" s="0" t="n">
        <f aca="false">K18</f>
        <v>3154</v>
      </c>
      <c r="P42" s="0" t="n">
        <f aca="false">_xlfn.CEILING.MATH(H2*8/64)</f>
        <v>86</v>
      </c>
      <c r="Q42" s="0" t="s">
        <v>47</v>
      </c>
    </row>
    <row r="43" customFormat="false" ht="13.8" hidden="false" customHeight="false" outlineLevel="0" collapsed="false">
      <c r="C43" s="0" t="str">
        <f aca="false">A24</f>
        <v>3KEM_5d</v>
      </c>
      <c r="D43" s="0" t="n">
        <f aca="false">H24</f>
        <v>3</v>
      </c>
      <c r="E43" s="0" t="n">
        <f aca="false">_xlfn.CEILING.MATH(B8*C8/1088)*24</f>
        <v>120</v>
      </c>
      <c r="F43" s="0" t="n">
        <f aca="false">C23</f>
        <v>54</v>
      </c>
      <c r="G43" s="0" t="n">
        <f aca="false">F23</f>
        <v>2</v>
      </c>
      <c r="H43" s="0" t="n">
        <f aca="false">H23</f>
        <v>2</v>
      </c>
      <c r="I43" s="0" t="n">
        <f aca="false">I23</f>
        <v>24</v>
      </c>
      <c r="J43" s="0" t="n">
        <f aca="false">_xlfn.CEILING.MATH(B7*2/1088)*24</f>
        <v>72</v>
      </c>
      <c r="K43" s="0" t="n">
        <f aca="false">_xlfn.CEILING.MATH(B7*C7/64)</f>
        <v>238</v>
      </c>
      <c r="L43" s="0" t="n">
        <f aca="false">_xlfn.CEILING.MATH(B6*2/64)</f>
        <v>27</v>
      </c>
      <c r="M43" s="0" t="e">
        <f aca="false">_xlfn.CEILING.MATH(J5*8/K5)</f>
        <v>#DIV/0!</v>
      </c>
      <c r="N43" s="0" t="n">
        <f aca="false">_xlfn.CEILING.MATH(L4/64)</f>
        <v>0</v>
      </c>
      <c r="O43" s="0" t="n">
        <f aca="false">K19</f>
        <v>4082</v>
      </c>
      <c r="P43" s="0" t="n">
        <f aca="false">_xlfn.CEILING.MATH(H3*8/64)</f>
        <v>123</v>
      </c>
      <c r="Q43" s="0" t="n">
        <v>24</v>
      </c>
      <c r="R43" s="0" t="s">
        <v>48</v>
      </c>
      <c r="S43" s="26" t="s">
        <v>150</v>
      </c>
    </row>
    <row r="44" customFormat="false" ht="13.8" hidden="false" customHeight="false" outlineLevel="0" collapsed="false">
      <c r="C44" s="0" t="str">
        <f aca="false">A25</f>
        <v>5KEM_5d</v>
      </c>
      <c r="D44" s="0" t="n">
        <f aca="false">H25</f>
        <v>4</v>
      </c>
      <c r="E44" s="0" t="n">
        <f aca="false">_xlfn.CEILING.MATH(B9*C9/1088)*24</f>
        <v>216</v>
      </c>
      <c r="F44" s="0" t="n">
        <f aca="false">C24</f>
        <v>95</v>
      </c>
      <c r="G44" s="0" t="n">
        <f aca="false">F24</f>
        <v>3</v>
      </c>
      <c r="H44" s="0" t="n">
        <f aca="false">H24</f>
        <v>3</v>
      </c>
      <c r="I44" s="0" t="n">
        <f aca="false">I24</f>
        <v>28</v>
      </c>
      <c r="J44" s="0" t="n">
        <f aca="false">_xlfn.CEILING.MATH(B8*2/1088)*24</f>
        <v>24</v>
      </c>
      <c r="K44" s="0" t="n">
        <f aca="false">_xlfn.CEILING.MATH(B8*C8/64)</f>
        <v>77</v>
      </c>
      <c r="L44" s="0" t="n">
        <f aca="false">_xlfn.CEILING.MATH(B7*2/64)</f>
        <v>37</v>
      </c>
      <c r="M44" s="0" t="e">
        <f aca="false">_xlfn.CEILING.MATH(J6*8/K6)</f>
        <v>#DIV/0!</v>
      </c>
      <c r="N44" s="0" t="n">
        <f aca="false">_xlfn.CEILING.MATH(L5/64)</f>
        <v>0</v>
      </c>
      <c r="O44" s="0" t="n">
        <f aca="false">K20</f>
        <v>2354</v>
      </c>
      <c r="P44" s="0" t="n">
        <f aca="false">_xlfn.CEILING.MATH(H4*8/64)</f>
        <v>160</v>
      </c>
      <c r="Q44" s="0" t="n">
        <v>24</v>
      </c>
      <c r="R44" s="0" t="n">
        <f aca="false">P42+2</f>
        <v>88</v>
      </c>
      <c r="S44" s="0" t="n">
        <f aca="false">R44+Q43+P42+O41+N41+L39+K38+E37+D36</f>
        <v>2977</v>
      </c>
    </row>
    <row r="45" customFormat="false" ht="13.8" hidden="false" customHeight="false" outlineLevel="0" collapsed="false">
      <c r="C45" s="0" t="str">
        <f aca="false">A26</f>
        <v>1PKE_5d</v>
      </c>
      <c r="D45" s="0" t="n">
        <f aca="false">H26</f>
        <v>2</v>
      </c>
      <c r="E45" s="0" t="n">
        <f aca="false">_xlfn.CEILING.MATH(B10*C10/1088)*24</f>
        <v>264</v>
      </c>
      <c r="F45" s="0" t="n">
        <f aca="false">C25</f>
        <v>118</v>
      </c>
      <c r="G45" s="0" t="n">
        <f aca="false">F25</f>
        <v>4</v>
      </c>
      <c r="H45" s="0" t="n">
        <f aca="false">H25</f>
        <v>4</v>
      </c>
      <c r="I45" s="0" t="n">
        <f aca="false">I25</f>
        <v>30</v>
      </c>
      <c r="J45" s="0" t="n">
        <f aca="false">_xlfn.CEILING.MATH(B9*2/1088)*24</f>
        <v>48</v>
      </c>
      <c r="K45" s="0" t="n">
        <f aca="false">_xlfn.CEILING.MATH(B9*C9/64)</f>
        <v>142</v>
      </c>
      <c r="L45" s="0" t="n">
        <f aca="false">_xlfn.CEILING.MATH(B8*2/64)</f>
        <v>16</v>
      </c>
      <c r="M45" s="0" t="e">
        <f aca="false">_xlfn.CEILING.MATH(J7*8/K7)</f>
        <v>#DIV/0!</v>
      </c>
      <c r="N45" s="0" t="n">
        <f aca="false">_xlfn.CEILING.MATH(L6/64)</f>
        <v>0</v>
      </c>
      <c r="O45" s="0" t="n">
        <f aca="false">K21</f>
        <v>3418</v>
      </c>
      <c r="P45" s="0" t="n">
        <f aca="false">_xlfn.CEILING.MATH(H5*8/64)</f>
        <v>0</v>
      </c>
      <c r="Q45" s="0" t="n">
        <v>24</v>
      </c>
      <c r="R45" s="0" t="n">
        <f aca="false">P43+2</f>
        <v>125</v>
      </c>
      <c r="S45" s="0" t="n">
        <f aca="false">R45+Q44+P43+O42+N42+L40+K39+E38+D37</f>
        <v>3854</v>
      </c>
    </row>
    <row r="46" customFormat="false" ht="13.8" hidden="false" customHeight="false" outlineLevel="0" collapsed="false">
      <c r="C46" s="0" t="str">
        <f aca="false">A27</f>
        <v>3PKE_5d</v>
      </c>
      <c r="D46" s="0" t="n">
        <f aca="false">H27</f>
        <v>3</v>
      </c>
      <c r="E46" s="0" t="n">
        <f aca="false">_xlfn.CEILING.MATH(B11*C11/1088)*24</f>
        <v>120</v>
      </c>
      <c r="F46" s="0" t="n">
        <f aca="false">C26</f>
        <v>56</v>
      </c>
      <c r="G46" s="0" t="n">
        <f aca="false">F26</f>
        <v>2</v>
      </c>
      <c r="H46" s="0" t="n">
        <f aca="false">H26</f>
        <v>2</v>
      </c>
      <c r="I46" s="0" t="n">
        <f aca="false">I26</f>
        <v>24</v>
      </c>
      <c r="J46" s="0" t="n">
        <f aca="false">_xlfn.CEILING.MATH(B10*2/1088)*24</f>
        <v>48</v>
      </c>
      <c r="K46" s="0" t="n">
        <f aca="false">_xlfn.CEILING.MATH(B10*C10/64)</f>
        <v>177</v>
      </c>
      <c r="L46" s="0" t="n">
        <f aca="false">_xlfn.CEILING.MATH(B9*2/64)</f>
        <v>24</v>
      </c>
      <c r="M46" s="0" t="n">
        <f aca="false">_xlfn.CEILING.MATH(J8*8/K8)</f>
        <v>12</v>
      </c>
      <c r="N46" s="0" t="n">
        <f aca="false">_xlfn.CEILING.MATH(L7/64)</f>
        <v>0</v>
      </c>
      <c r="O46" s="0" t="n">
        <f aca="false">K22</f>
        <v>4690</v>
      </c>
      <c r="P46" s="0" t="n">
        <f aca="false">_xlfn.CEILING.MATH(H6*8/64)</f>
        <v>0</v>
      </c>
      <c r="Q46" s="0" t="n">
        <v>24</v>
      </c>
      <c r="R46" s="0" t="n">
        <f aca="false">P44+2</f>
        <v>162</v>
      </c>
      <c r="S46" s="0" t="n">
        <f aca="false">R46+Q45+P44+O43+N43+L41+K40+E39+D38</f>
        <v>5023</v>
      </c>
    </row>
    <row r="47" customFormat="false" ht="13.8" hidden="false" customHeight="false" outlineLevel="0" collapsed="false">
      <c r="C47" s="0" t="str">
        <f aca="false">A28</f>
        <v>5PKE_5d</v>
      </c>
      <c r="D47" s="0" t="n">
        <f aca="false">H28</f>
        <v>4</v>
      </c>
      <c r="E47" s="0" t="n">
        <f aca="false">_xlfn.CEILING.MATH(B12*C12/1088)*24</f>
        <v>216</v>
      </c>
      <c r="F47" s="0" t="n">
        <f aca="false">C27</f>
        <v>95</v>
      </c>
      <c r="G47" s="0" t="n">
        <f aca="false">F27</f>
        <v>3</v>
      </c>
      <c r="H47" s="0" t="n">
        <f aca="false">H27</f>
        <v>3</v>
      </c>
      <c r="I47" s="0" t="n">
        <f aca="false">I27</f>
        <v>28</v>
      </c>
      <c r="J47" s="0" t="n">
        <f aca="false">_xlfn.CEILING.MATH(B11*2/1088)*24</f>
        <v>24</v>
      </c>
      <c r="K47" s="0" t="n">
        <f aca="false">_xlfn.CEILING.MATH(B11*C11/64)</f>
        <v>80</v>
      </c>
      <c r="L47" s="0" t="n">
        <f aca="false">_xlfn.CEILING.MATH(B10*2/64)</f>
        <v>30</v>
      </c>
      <c r="M47" s="0" t="n">
        <f aca="false">_xlfn.CEILING.MATH(J9*8/K9)</f>
        <v>15</v>
      </c>
      <c r="N47" s="0" t="n">
        <f aca="false">_xlfn.CEILING.MATH(L8/64)</f>
        <v>3</v>
      </c>
      <c r="O47" s="0" t="n">
        <f aca="false">K23</f>
        <v>1970</v>
      </c>
      <c r="P47" s="0" t="n">
        <f aca="false">_xlfn.CEILING.MATH(H7*8/64)</f>
        <v>0</v>
      </c>
      <c r="Q47" s="0" t="n">
        <v>24</v>
      </c>
      <c r="R47" s="0" t="n">
        <f aca="false">P45+2</f>
        <v>2</v>
      </c>
      <c r="S47" s="0" t="n">
        <f aca="false">R47+Q46+P45+O44+N44+L42+K41+E40+D39</f>
        <v>2713</v>
      </c>
    </row>
    <row r="48" customFormat="false" ht="13.8" hidden="false" customHeight="false" outlineLevel="0" collapsed="false">
      <c r="E48" s="0" t="n">
        <f aca="false">_xlfn.CEILING.MATH(B13*C13/1088)*24</f>
        <v>240</v>
      </c>
      <c r="F48" s="0" t="n">
        <f aca="false">C28</f>
        <v>119</v>
      </c>
      <c r="G48" s="0" t="n">
        <f aca="false">F28</f>
        <v>4</v>
      </c>
      <c r="H48" s="0" t="n">
        <f aca="false">H28</f>
        <v>4</v>
      </c>
      <c r="I48" s="0" t="n">
        <f aca="false">I28</f>
        <v>30</v>
      </c>
      <c r="J48" s="0" t="n">
        <f aca="false">_xlfn.CEILING.MATH(B12*2/1088)*24</f>
        <v>48</v>
      </c>
      <c r="K48" s="0" t="n">
        <f aca="false">_xlfn.CEILING.MATH(B12*C12/64)</f>
        <v>142</v>
      </c>
      <c r="L48" s="0" t="n">
        <f aca="false">_xlfn.CEILING.MATH(B11*2/64)</f>
        <v>16</v>
      </c>
      <c r="M48" s="0" t="n">
        <f aca="false">_xlfn.CEILING.MATH(J10*8/K10)</f>
        <v>16</v>
      </c>
      <c r="N48" s="0" t="n">
        <f aca="false">_xlfn.CEILING.MATH(L9/64)</f>
        <v>4</v>
      </c>
      <c r="O48" s="0" t="n">
        <f aca="false">K24</f>
        <v>3034</v>
      </c>
      <c r="P48" s="0" t="n">
        <f aca="false">_xlfn.CEILING.MATH(H8*8/64)</f>
        <v>69</v>
      </c>
      <c r="Q48" s="0" t="n">
        <v>24</v>
      </c>
      <c r="R48" s="0" t="n">
        <f aca="false">P46+2</f>
        <v>2</v>
      </c>
      <c r="S48" s="0" t="n">
        <f aca="false">R48+Q47+P46+O45+N45+L43+K42+E41+D40</f>
        <v>3874</v>
      </c>
    </row>
    <row r="49" customFormat="false" ht="13.8" hidden="false" customHeight="false" outlineLevel="0" collapsed="false">
      <c r="J49" s="0" t="n">
        <f aca="false">_xlfn.CEILING.MATH(B13*2/1088)*24</f>
        <v>48</v>
      </c>
      <c r="K49" s="0" t="n">
        <f aca="false">_xlfn.CEILING.MATH(B13*C13/64)</f>
        <v>163</v>
      </c>
      <c r="L49" s="0" t="n">
        <f aca="false">_xlfn.CEILING.MATH(B12*2/64)</f>
        <v>24</v>
      </c>
      <c r="M49" s="0" t="n">
        <f aca="false">_xlfn.CEILING.MATH(J11*8/K11)</f>
        <v>12</v>
      </c>
      <c r="N49" s="0" t="n">
        <f aca="false">_xlfn.CEILING.MATH(L10/64)</f>
        <v>4</v>
      </c>
      <c r="O49" s="0" t="n">
        <f aca="false">K25</f>
        <v>3770</v>
      </c>
      <c r="P49" s="0" t="n">
        <f aca="false">_xlfn.CEILING.MATH(H9*8/64)</f>
        <v>108</v>
      </c>
      <c r="Q49" s="0" t="n">
        <v>24</v>
      </c>
      <c r="R49" s="0" t="n">
        <f aca="false">P47+2</f>
        <v>2</v>
      </c>
      <c r="S49" s="0" t="n">
        <f aca="false">R49+Q48+P47+O46+N46+L44+K43+E42+D41</f>
        <v>5331</v>
      </c>
    </row>
    <row r="50" customFormat="false" ht="13.8" hidden="false" customHeight="false" outlineLevel="0" collapsed="false">
      <c r="L50" s="0" t="n">
        <f aca="false">_xlfn.CEILING.MATH(B13*2/64)</f>
        <v>30</v>
      </c>
      <c r="M50" s="0" t="n">
        <f aca="false">_xlfn.CEILING.MATH(J12*8/K12)</f>
        <v>15</v>
      </c>
      <c r="N50" s="0" t="n">
        <f aca="false">_xlfn.CEILING.MATH(L11/64)</f>
        <v>3</v>
      </c>
      <c r="O50" s="0" t="n">
        <f aca="false">K26</f>
        <v>2042</v>
      </c>
      <c r="P50" s="0" t="n">
        <f aca="false">_xlfn.CEILING.MATH(H10*8/64)</f>
        <v>133</v>
      </c>
      <c r="Q50" s="0" t="n">
        <v>24</v>
      </c>
      <c r="R50" s="0" t="n">
        <f aca="false">P48+2</f>
        <v>71</v>
      </c>
      <c r="S50" s="0" t="n">
        <f aca="false">R50+Q49+P48+O47+N47+L45+K44+E43+D42+M46</f>
        <v>2364</v>
      </c>
    </row>
    <row r="51" customFormat="false" ht="13.8" hidden="false" customHeight="false" outlineLevel="0" collapsed="false">
      <c r="M51" s="0" t="n">
        <f aca="false">_xlfn.CEILING.MATH(J13*8/K13)</f>
        <v>16</v>
      </c>
      <c r="N51" s="0" t="n">
        <f aca="false">_xlfn.CEILING.MATH(L12/64)</f>
        <v>4</v>
      </c>
      <c r="O51" s="0" t="n">
        <f aca="false">K27</f>
        <v>3034</v>
      </c>
      <c r="P51" s="0" t="n">
        <f aca="false">_xlfn.CEILING.MATH(H11*8/64)</f>
        <v>0</v>
      </c>
      <c r="Q51" s="0" t="n">
        <v>24</v>
      </c>
      <c r="R51" s="0" t="n">
        <f aca="false">P49+2</f>
        <v>110</v>
      </c>
      <c r="S51" s="0" t="n">
        <f aca="false">R51+Q50+P49+O48+N48+L46+K45+E44+D43+M47</f>
        <v>3680</v>
      </c>
    </row>
    <row r="52" customFormat="false" ht="13.8" hidden="false" customHeight="false" outlineLevel="0" collapsed="false">
      <c r="N52" s="0" t="n">
        <f aca="false">_xlfn.CEILING.MATH(L13/64)</f>
        <v>4</v>
      </c>
      <c r="O52" s="0" t="n">
        <f aca="false">K28</f>
        <v>3794</v>
      </c>
      <c r="P52" s="0" t="n">
        <f aca="false">_xlfn.CEILING.MATH(H12*8/64)</f>
        <v>0</v>
      </c>
      <c r="Q52" s="0" t="n">
        <v>24</v>
      </c>
      <c r="R52" s="0" t="n">
        <f aca="false">P50+2</f>
        <v>135</v>
      </c>
      <c r="S52" s="0" t="n">
        <f aca="false">R52+Q51+P50+O49+N49+L47+K46+E45+D44+M48</f>
        <v>4557</v>
      </c>
    </row>
    <row r="53" customFormat="false" ht="13.8" hidden="false" customHeight="false" outlineLevel="0" collapsed="false">
      <c r="P53" s="0" t="n">
        <f aca="false">_xlfn.CEILING.MATH(H13*8/64)</f>
        <v>0</v>
      </c>
      <c r="Q53" s="0" t="n">
        <v>24</v>
      </c>
      <c r="R53" s="0" t="n">
        <f aca="false">P51+2</f>
        <v>2</v>
      </c>
      <c r="S53" s="0" t="n">
        <f aca="false">R53+Q52+P51+O50+N50+L48+K47+E46+D45+M49</f>
        <v>2301</v>
      </c>
    </row>
    <row r="54" customFormat="false" ht="13.8" hidden="false" customHeight="false" outlineLevel="0" collapsed="false">
      <c r="Q54" s="0" t="n">
        <v>24</v>
      </c>
      <c r="R54" s="0" t="n">
        <f aca="false">P52+2</f>
        <v>2</v>
      </c>
      <c r="S54" s="0" t="n">
        <f aca="false">R54+Q53+P52+O51+N51+L49+K48+E47+D46+M50</f>
        <v>3464</v>
      </c>
    </row>
    <row r="55" customFormat="false" ht="13.8" hidden="false" customHeight="false" outlineLevel="0" collapsed="false">
      <c r="R55" s="0" t="n">
        <f aca="false">P53+2</f>
        <v>2</v>
      </c>
      <c r="S55" s="0" t="n">
        <f aca="false">R55+Q54+P53+O52+N52+L50+K49+E48+D47+M51</f>
        <v>4277</v>
      </c>
    </row>
    <row r="57" customFormat="false" ht="13.8" hidden="false" customHeight="false" outlineLevel="0" collapsed="false"/>
    <row r="58" customFormat="false" ht="12.8" hidden="false" customHeight="false" outlineLevel="0" collapsed="false">
      <c r="D58" s="0" t="s">
        <v>151</v>
      </c>
    </row>
    <row r="59" customFormat="false" ht="13.8" hidden="false" customHeight="false" outlineLevel="0" collapsed="false"/>
    <row r="60" customFormat="false" ht="13.8" hidden="false" customHeight="false" outlineLevel="0" collapsed="false">
      <c r="D60" s="0" t="s">
        <v>152</v>
      </c>
    </row>
    <row r="61" customFormat="false" ht="13.8" hidden="false" customHeight="false" outlineLevel="0" collapsed="false">
      <c r="C61" s="0" t="str">
        <f aca="false">C36</f>
        <v>1KEM_0d</v>
      </c>
      <c r="D61" s="0" t="n">
        <f aca="false">G17</f>
        <v>2</v>
      </c>
      <c r="E61" s="0" t="s">
        <v>51</v>
      </c>
      <c r="F61" s="0" t="s">
        <v>127</v>
      </c>
      <c r="G61" s="0" t="s">
        <v>53</v>
      </c>
    </row>
    <row r="62" customFormat="false" ht="13.8" hidden="false" customHeight="false" outlineLevel="0" collapsed="false">
      <c r="C62" s="0" t="str">
        <f aca="false">C37</f>
        <v>3KEM_0d</v>
      </c>
      <c r="D62" s="0" t="n">
        <f aca="false">G18</f>
        <v>3</v>
      </c>
      <c r="E62" s="0" t="n">
        <f aca="false">_xlfn.CEILING.MATH(B2*D2/1088)*24</f>
        <v>120</v>
      </c>
      <c r="G62" s="0" t="n">
        <f aca="false">_xlfn.CEILING.MATH(B2*D2/64)</f>
        <v>78</v>
      </c>
      <c r="H62" s="0" t="s">
        <v>55</v>
      </c>
    </row>
    <row r="63" customFormat="false" ht="13.8" hidden="false" customHeight="false" outlineLevel="0" collapsed="false">
      <c r="C63" s="0" t="str">
        <f aca="false">C38</f>
        <v>5KEM_0d</v>
      </c>
      <c r="D63" s="0" t="n">
        <f aca="false">G19</f>
        <v>4</v>
      </c>
      <c r="E63" s="0" t="n">
        <f aca="false">_xlfn.CEILING.MATH(B3*D3/1088)*24</f>
        <v>168</v>
      </c>
      <c r="G63" s="0" t="n">
        <f aca="false">_xlfn.CEILING.MATH(B3*D3/64)</f>
        <v>111</v>
      </c>
      <c r="H63" s="0" t="n">
        <f aca="false">L17</f>
        <v>1243</v>
      </c>
      <c r="I63" s="0" t="s">
        <v>153</v>
      </c>
    </row>
    <row r="64" customFormat="false" ht="13.8" hidden="false" customHeight="false" outlineLevel="0" collapsed="false">
      <c r="C64" s="0" t="str">
        <f aca="false">C39</f>
        <v>1PKE_0d</v>
      </c>
      <c r="D64" s="0" t="n">
        <f aca="false">G20</f>
        <v>89</v>
      </c>
      <c r="E64" s="0" t="n">
        <f aca="false">_xlfn.CEILING.MATH(B4*D4/1088)*24</f>
        <v>216</v>
      </c>
      <c r="G64" s="0" t="n">
        <f aca="false">_xlfn.CEILING.MATH(B4*D4/64)</f>
        <v>144</v>
      </c>
      <c r="H64" s="0" t="n">
        <f aca="false">L18</f>
        <v>1579</v>
      </c>
      <c r="I64" s="0" t="e">
        <f aca="false">2*(_xlfn.CEILING.MATH(J2*8/K2))</f>
        <v>#DIV/0!</v>
      </c>
      <c r="J64" s="0" t="s">
        <v>56</v>
      </c>
    </row>
    <row r="65" customFormat="false" ht="13.8" hidden="false" customHeight="false" outlineLevel="0" collapsed="false">
      <c r="C65" s="0" t="str">
        <f aca="false">C40</f>
        <v>3PKE_0d</v>
      </c>
      <c r="D65" s="0" t="n">
        <f aca="false">G21</f>
        <v>129</v>
      </c>
      <c r="E65" s="0" t="n">
        <f aca="false">_xlfn.CEILING.MATH(B5*D5/1088)*24</f>
        <v>120</v>
      </c>
      <c r="G65" s="0" t="n">
        <f aca="false">_xlfn.CEILING.MATH(B5*D5/64)</f>
        <v>83</v>
      </c>
      <c r="H65" s="0" t="n">
        <f aca="false">L19</f>
        <v>2043</v>
      </c>
      <c r="I65" s="0" t="e">
        <f aca="false">2*(_xlfn.CEILING.MATH(J3*8/K3))</f>
        <v>#DIV/0!</v>
      </c>
      <c r="J65" s="0" t="n">
        <f aca="false">F17</f>
        <v>2</v>
      </c>
      <c r="K65" s="0" t="s">
        <v>47</v>
      </c>
    </row>
    <row r="66" customFormat="false" ht="13.8" hidden="false" customHeight="false" outlineLevel="0" collapsed="false">
      <c r="C66" s="0" t="str">
        <f aca="false">C41</f>
        <v>5PKE_0d</v>
      </c>
      <c r="D66" s="0" t="n">
        <f aca="false">G22</f>
        <v>177</v>
      </c>
      <c r="E66" s="0" t="n">
        <f aca="false">_xlfn.CEILING.MATH(B6*D6/1088)*24</f>
        <v>192</v>
      </c>
      <c r="G66" s="0" t="n">
        <f aca="false">_xlfn.CEILING.MATH(B6*D6/64)</f>
        <v>120</v>
      </c>
      <c r="H66" s="0" t="n">
        <f aca="false">L20</f>
        <v>1179</v>
      </c>
      <c r="I66" s="0" t="e">
        <f aca="false">2*(_xlfn.CEILING.MATH(J4*8/K4))</f>
        <v>#DIV/0!</v>
      </c>
      <c r="J66" s="0" t="n">
        <f aca="false">F18</f>
        <v>3</v>
      </c>
      <c r="K66" s="0" t="n">
        <v>24</v>
      </c>
      <c r="L66" s="0" t="s">
        <v>57</v>
      </c>
      <c r="M66" s="26" t="s">
        <v>150</v>
      </c>
    </row>
    <row r="67" customFormat="false" ht="13.8" hidden="false" customHeight="false" outlineLevel="0" collapsed="false">
      <c r="C67" s="0" t="str">
        <f aca="false">C42</f>
        <v>1KEM_5d</v>
      </c>
      <c r="D67" s="0" t="n">
        <f aca="false">G23</f>
        <v>2</v>
      </c>
      <c r="E67" s="0" t="n">
        <f aca="false">_xlfn.CEILING.MATH(B7*D7/1088)*24</f>
        <v>240</v>
      </c>
      <c r="G67" s="0" t="n">
        <f aca="false">_xlfn.CEILING.MATH(B7*D7/64)</f>
        <v>165</v>
      </c>
      <c r="H67" s="0" t="n">
        <f aca="false">L21</f>
        <v>1711</v>
      </c>
      <c r="I67" s="0" t="e">
        <f aca="false">2*(_xlfn.CEILING.MATH(J5*8/K5))</f>
        <v>#DIV/0!</v>
      </c>
      <c r="J67" s="0" t="n">
        <f aca="false">F19</f>
        <v>4</v>
      </c>
      <c r="K67" s="0" t="n">
        <v>24</v>
      </c>
      <c r="L67" s="0" t="n">
        <f aca="false">F17+G17</f>
        <v>4</v>
      </c>
      <c r="M67" s="0" t="n">
        <f aca="false">L67+K66+J65+H63+E62+D61</f>
        <v>1395</v>
      </c>
    </row>
    <row r="68" customFormat="false" ht="13.8" hidden="false" customHeight="false" outlineLevel="0" collapsed="false">
      <c r="C68" s="0" t="str">
        <f aca="false">C43</f>
        <v>3KEM_5d</v>
      </c>
      <c r="D68" s="0" t="n">
        <f aca="false">G24</f>
        <v>3</v>
      </c>
      <c r="E68" s="0" t="n">
        <f aca="false">_xlfn.CEILING.MATH(B8*D8/1088)*24</f>
        <v>96</v>
      </c>
      <c r="G68" s="0" t="n">
        <f aca="false">_xlfn.CEILING.MATH(B8*D8/64)</f>
        <v>54</v>
      </c>
      <c r="H68" s="0" t="n">
        <f aca="false">L22</f>
        <v>2347</v>
      </c>
      <c r="I68" s="0" t="e">
        <f aca="false">2*(_xlfn.CEILING.MATH(J6*8/K6))</f>
        <v>#DIV/0!</v>
      </c>
      <c r="J68" s="0" t="n">
        <f aca="false">F20</f>
        <v>2</v>
      </c>
      <c r="K68" s="0" t="n">
        <v>24</v>
      </c>
      <c r="L68" s="0" t="n">
        <f aca="false">F18+G18</f>
        <v>6</v>
      </c>
      <c r="M68" s="0" t="n">
        <f aca="false">L68+K67+J66+H64+E63+D62</f>
        <v>1783</v>
      </c>
    </row>
    <row r="69" customFormat="false" ht="13.8" hidden="false" customHeight="false" outlineLevel="0" collapsed="false">
      <c r="C69" s="0" t="str">
        <f aca="false">C44</f>
        <v>5KEM_5d</v>
      </c>
      <c r="D69" s="0" t="n">
        <f aca="false">G25</f>
        <v>4</v>
      </c>
      <c r="E69" s="0" t="n">
        <f aca="false">_xlfn.CEILING.MATH(B9*D9/1088)*24</f>
        <v>144</v>
      </c>
      <c r="G69" s="0" t="n">
        <f aca="false">_xlfn.CEILING.MATH(B9*D9/64)</f>
        <v>95</v>
      </c>
      <c r="H69" s="0" t="n">
        <f aca="false">L23</f>
        <v>987</v>
      </c>
      <c r="I69" s="0" t="e">
        <f aca="false">2*(_xlfn.CEILING.MATH(J7*8/K7))</f>
        <v>#DIV/0!</v>
      </c>
      <c r="J69" s="0" t="n">
        <f aca="false">F21</f>
        <v>3</v>
      </c>
      <c r="K69" s="0" t="n">
        <v>24</v>
      </c>
      <c r="L69" s="0" t="n">
        <f aca="false">F19+G19</f>
        <v>8</v>
      </c>
      <c r="M69" s="0" t="n">
        <f aca="false">L69+K68+J67+H65+E64+D63</f>
        <v>2299</v>
      </c>
    </row>
    <row r="70" customFormat="false" ht="13.8" hidden="false" customHeight="false" outlineLevel="0" collapsed="false">
      <c r="C70" s="0" t="str">
        <f aca="false">C45</f>
        <v>1PKE_5d</v>
      </c>
      <c r="D70" s="0" t="n">
        <f aca="false">G26</f>
        <v>62</v>
      </c>
      <c r="E70" s="0" t="n">
        <f aca="false">_xlfn.CEILING.MATH(B10*D10/1088)*24</f>
        <v>168</v>
      </c>
      <c r="G70" s="0" t="n">
        <f aca="false">_xlfn.CEILING.MATH(B10*D10/64)</f>
        <v>118</v>
      </c>
      <c r="H70" s="0" t="n">
        <f aca="false">L24</f>
        <v>1519</v>
      </c>
      <c r="I70" s="0" t="n">
        <f aca="false">2*(_xlfn.CEILING.MATH(J8*8/K8))</f>
        <v>24</v>
      </c>
      <c r="J70" s="0" t="n">
        <f aca="false">F22</f>
        <v>4</v>
      </c>
      <c r="K70" s="0" t="n">
        <v>24</v>
      </c>
      <c r="L70" s="0" t="n">
        <f aca="false">F20+G20</f>
        <v>91</v>
      </c>
      <c r="M70" s="0" t="n">
        <f aca="false">L70+K69+J68+H66+E65+D64</f>
        <v>1505</v>
      </c>
    </row>
    <row r="71" customFormat="false" ht="13.8" hidden="false" customHeight="false" outlineLevel="0" collapsed="false">
      <c r="C71" s="0" t="str">
        <f aca="false">C46</f>
        <v>3PKE_5d</v>
      </c>
      <c r="D71" s="0" t="n">
        <f aca="false">G27</f>
        <v>104</v>
      </c>
      <c r="E71" s="0" t="n">
        <f aca="false">_xlfn.CEILING.MATH(B11*D11/1088)*24</f>
        <v>96</v>
      </c>
      <c r="G71" s="0" t="n">
        <f aca="false">_xlfn.CEILING.MATH(B11*D11/64)</f>
        <v>56</v>
      </c>
      <c r="H71" s="0" t="n">
        <f aca="false">L25</f>
        <v>1887</v>
      </c>
      <c r="I71" s="0" t="n">
        <f aca="false">2*(_xlfn.CEILING.MATH(J9*8/K9))</f>
        <v>30</v>
      </c>
      <c r="J71" s="0" t="n">
        <f aca="false">F23</f>
        <v>2</v>
      </c>
      <c r="K71" s="0" t="n">
        <v>24</v>
      </c>
      <c r="L71" s="0" t="n">
        <f aca="false">F21+G21</f>
        <v>132</v>
      </c>
      <c r="M71" s="0" t="n">
        <f aca="false">L71+K70+J69+H67+E66+D65</f>
        <v>2191</v>
      </c>
    </row>
    <row r="72" customFormat="false" ht="13.8" hidden="false" customHeight="false" outlineLevel="0" collapsed="false">
      <c r="C72" s="0" t="str">
        <f aca="false">C47</f>
        <v>5PKE_5d</v>
      </c>
      <c r="D72" s="0" t="n">
        <f aca="false">G28</f>
        <v>131</v>
      </c>
      <c r="E72" s="0" t="n">
        <f aca="false">_xlfn.CEILING.MATH(B12*D12/1088)*24</f>
        <v>144</v>
      </c>
      <c r="G72" s="0" t="n">
        <f aca="false">_xlfn.CEILING.MATH(B12*D12/64)</f>
        <v>95</v>
      </c>
      <c r="H72" s="0" t="n">
        <f aca="false">L26</f>
        <v>1023</v>
      </c>
      <c r="I72" s="0" t="n">
        <f aca="false">2*(_xlfn.CEILING.MATH(J10*8/K10))</f>
        <v>32</v>
      </c>
      <c r="J72" s="0" t="n">
        <f aca="false">F24</f>
        <v>3</v>
      </c>
      <c r="K72" s="0" t="n">
        <v>24</v>
      </c>
      <c r="L72" s="0" t="n">
        <f aca="false">F22+G22</f>
        <v>181</v>
      </c>
      <c r="M72" s="0" t="n">
        <f aca="false">L72+K71+J70+H68+E67+D66</f>
        <v>2973</v>
      </c>
    </row>
    <row r="73" customFormat="false" ht="13.8" hidden="false" customHeight="false" outlineLevel="0" collapsed="false">
      <c r="E73" s="0" t="n">
        <f aca="false">_xlfn.CEILING.MATH(B13*D13/1088)*24</f>
        <v>168</v>
      </c>
      <c r="G73" s="0" t="n">
        <f aca="false">_xlfn.CEILING.MATH(B13*D13/64)</f>
        <v>119</v>
      </c>
      <c r="H73" s="0" t="n">
        <f aca="false">L27</f>
        <v>1519</v>
      </c>
      <c r="I73" s="0" t="n">
        <f aca="false">2*(_xlfn.CEILING.MATH(J11*8/K11))</f>
        <v>24</v>
      </c>
      <c r="J73" s="0" t="n">
        <f aca="false">F25</f>
        <v>4</v>
      </c>
      <c r="K73" s="0" t="n">
        <v>24</v>
      </c>
      <c r="L73" s="0" t="n">
        <f aca="false">F23+G23</f>
        <v>4</v>
      </c>
      <c r="M73" s="0" t="n">
        <f aca="false">L73+K72+J71+H69+E68+D67+I70</f>
        <v>1139</v>
      </c>
    </row>
    <row r="74" customFormat="false" ht="13.8" hidden="false" customHeight="false" outlineLevel="0" collapsed="false">
      <c r="H74" s="0" t="n">
        <f aca="false">L28</f>
        <v>1899</v>
      </c>
      <c r="I74" s="0" t="n">
        <f aca="false">2*(_xlfn.CEILING.MATH(J12*8/K12))</f>
        <v>30</v>
      </c>
      <c r="J74" s="0" t="n">
        <f aca="false">F26</f>
        <v>2</v>
      </c>
      <c r="K74" s="0" t="n">
        <v>24</v>
      </c>
      <c r="L74" s="0" t="n">
        <f aca="false">F24+G24</f>
        <v>6</v>
      </c>
      <c r="M74" s="0" t="n">
        <f aca="false">L74+K73+J72+H70+E69+D68+I71</f>
        <v>1729</v>
      </c>
    </row>
    <row r="75" customFormat="false" ht="13.8" hidden="false" customHeight="false" outlineLevel="0" collapsed="false">
      <c r="I75" s="0" t="n">
        <f aca="false">2*(_xlfn.CEILING.MATH(J13*8/K13))</f>
        <v>32</v>
      </c>
      <c r="J75" s="0" t="n">
        <f aca="false">F27</f>
        <v>3</v>
      </c>
      <c r="K75" s="0" t="n">
        <v>24</v>
      </c>
      <c r="L75" s="0" t="n">
        <f aca="false">F25+G25</f>
        <v>8</v>
      </c>
      <c r="M75" s="0" t="n">
        <f aca="false">L75+K74+J73+H71+E70+D69+I72</f>
        <v>2127</v>
      </c>
    </row>
    <row r="76" customFormat="false" ht="13.8" hidden="false" customHeight="false" outlineLevel="0" collapsed="false">
      <c r="J76" s="0" t="n">
        <f aca="false">F28</f>
        <v>4</v>
      </c>
      <c r="K76" s="0" t="n">
        <v>24</v>
      </c>
      <c r="L76" s="0" t="n">
        <f aca="false">F26+G26</f>
        <v>64</v>
      </c>
      <c r="M76" s="0" t="n">
        <f aca="false">L76+K75+J74+H72+E71+D70+I73</f>
        <v>1295</v>
      </c>
    </row>
    <row r="77" customFormat="false" ht="13.8" hidden="false" customHeight="false" outlineLevel="0" collapsed="false">
      <c r="K77" s="0" t="n">
        <v>24</v>
      </c>
      <c r="L77" s="0" t="n">
        <f aca="false">F27+G27</f>
        <v>107</v>
      </c>
      <c r="M77" s="0" t="n">
        <f aca="false">L77+K76+J75+H73+E72+D71+I74</f>
        <v>1931</v>
      </c>
    </row>
    <row r="78" customFormat="false" ht="13.8" hidden="false" customHeight="false" outlineLevel="0" collapsed="false">
      <c r="L78" s="0" t="n">
        <f aca="false">F28+G28</f>
        <v>135</v>
      </c>
      <c r="M78" s="0" t="n">
        <f aca="false">L78+K77+J76+H74+E73+D72+I75</f>
        <v>2393</v>
      </c>
    </row>
    <row r="79" customFormat="false" ht="13.8" hidden="false" customHeight="false" outlineLevel="0" collapsed="false">
      <c r="D79" s="0" t="s">
        <v>154</v>
      </c>
    </row>
    <row r="80" customFormat="false" ht="13.8" hidden="false" customHeight="false" outlineLevel="0" collapsed="false"/>
    <row r="81" customFormat="false" ht="13.8" hidden="false" customHeight="false" outlineLevel="0" collapsed="false">
      <c r="D81" s="0" t="s">
        <v>33</v>
      </c>
    </row>
    <row r="82" customFormat="false" ht="13.8" hidden="false" customHeight="false" outlineLevel="0" collapsed="false">
      <c r="C82" s="0" t="str">
        <f aca="false">C61</f>
        <v>1KEM_0d</v>
      </c>
      <c r="D82" s="0" t="n">
        <f aca="false">H17</f>
        <v>2</v>
      </c>
      <c r="E82" s="0" t="s">
        <v>155</v>
      </c>
      <c r="F82" s="0" t="s">
        <v>156</v>
      </c>
      <c r="G82" s="0" t="s">
        <v>144</v>
      </c>
      <c r="H82" s="0" t="s">
        <v>145</v>
      </c>
      <c r="I82" s="0" t="s">
        <v>146</v>
      </c>
    </row>
    <row r="83" customFormat="false" ht="13.8" hidden="false" customHeight="false" outlineLevel="0" collapsed="false">
      <c r="C83" s="0" t="str">
        <f aca="false">C62</f>
        <v>3KEM_0d</v>
      </c>
      <c r="D83" s="0" t="n">
        <f aca="false">H18</f>
        <v>3</v>
      </c>
      <c r="E83" s="0" t="n">
        <f aca="false">_xlfn.CEILING.MATH((3*J2*8)/1088)*24</f>
        <v>24</v>
      </c>
      <c r="F83" s="0" t="n">
        <f aca="false">_xlfn.CEILING.MATH(F2/8)</f>
        <v>80</v>
      </c>
      <c r="G83" s="0" t="n">
        <f aca="false">F63</f>
        <v>0</v>
      </c>
      <c r="H83" s="0" t="n">
        <f aca="false">H63</f>
        <v>1243</v>
      </c>
      <c r="I83" s="0" t="str">
        <f aca="false">I63</f>
        <v>XefFix</v>
      </c>
      <c r="J83" s="0" t="s">
        <v>61</v>
      </c>
      <c r="K83" s="0" t="s">
        <v>39</v>
      </c>
    </row>
    <row r="84" customFormat="false" ht="13.8" hidden="false" customHeight="false" outlineLevel="0" collapsed="false">
      <c r="C84" s="0" t="str">
        <f aca="false">C63</f>
        <v>5KEM_0d</v>
      </c>
      <c r="D84" s="0" t="n">
        <f aca="false">H19</f>
        <v>4</v>
      </c>
      <c r="E84" s="0" t="n">
        <f aca="false">_xlfn.CEILING.MATH((3*J3*8)/1088)*24</f>
        <v>24</v>
      </c>
      <c r="F84" s="0" t="n">
        <f aca="false">_xlfn.CEILING.MATH(F3/8)</f>
        <v>114</v>
      </c>
      <c r="G84" s="0" t="n">
        <f aca="false">F64</f>
        <v>0</v>
      </c>
      <c r="H84" s="0" t="n">
        <f aca="false">H64</f>
        <v>1579</v>
      </c>
      <c r="I84" s="0" t="e">
        <f aca="false">I64</f>
        <v>#DIV/0!</v>
      </c>
      <c r="J84" s="0" t="n">
        <f aca="false">_xlfn.CEILING.MATH(B48*2/1088)*24</f>
        <v>0</v>
      </c>
      <c r="K84" s="0" t="n">
        <f aca="false">_xlfn.CEILING.MATH(B48*C48/64)</f>
        <v>0</v>
      </c>
      <c r="L84" s="0" t="s">
        <v>62</v>
      </c>
    </row>
    <row r="85" customFormat="false" ht="13.8" hidden="false" customHeight="false" outlineLevel="0" collapsed="false">
      <c r="C85" s="0" t="str">
        <f aca="false">C64</f>
        <v>1PKE_0d</v>
      </c>
      <c r="D85" s="0" t="n">
        <f aca="false">H20</f>
        <v>2</v>
      </c>
      <c r="E85" s="0" t="n">
        <f aca="false">_xlfn.CEILING.MATH((3*J4*8)/1088)*24</f>
        <v>24</v>
      </c>
      <c r="F85" s="0" t="n">
        <f aca="false">_xlfn.CEILING.MATH(F4/8)</f>
        <v>148</v>
      </c>
      <c r="G85" s="0" t="n">
        <f aca="false">F65</f>
        <v>0</v>
      </c>
      <c r="H85" s="0" t="n">
        <f aca="false">H65</f>
        <v>2043</v>
      </c>
      <c r="I85" s="0" t="e">
        <f aca="false">I65</f>
        <v>#DIV/0!</v>
      </c>
      <c r="J85" s="0" t="n">
        <f aca="false">_xlfn.CEILING.MATH(B49*2/1088)*24</f>
        <v>0</v>
      </c>
      <c r="K85" s="0" t="n">
        <f aca="false">_xlfn.CEILING.MATH(B49*C49/64)</f>
        <v>0</v>
      </c>
      <c r="L85" s="0" t="n">
        <f aca="false">_xlfn.CEILING.MATH(B48*2/64)</f>
        <v>0</v>
      </c>
      <c r="M85" s="0" t="s">
        <v>147</v>
      </c>
    </row>
    <row r="86" customFormat="false" ht="13.8" hidden="false" customHeight="false" outlineLevel="0" collapsed="false">
      <c r="C86" s="0" t="str">
        <f aca="false">C65</f>
        <v>3PKE_0d</v>
      </c>
      <c r="D86" s="0" t="n">
        <f aca="false">H21</f>
        <v>3</v>
      </c>
      <c r="E86" s="0" t="n">
        <f aca="false">_xlfn.CEILING.MATH((3*J5*8)/1088)*24</f>
        <v>24</v>
      </c>
      <c r="F86" s="0" t="n">
        <f aca="false">_xlfn.CEILING.MATH(F5/8)</f>
        <v>85</v>
      </c>
      <c r="G86" s="0" t="n">
        <f aca="false">F66</f>
        <v>0</v>
      </c>
      <c r="H86" s="0" t="n">
        <f aca="false">H66</f>
        <v>1179</v>
      </c>
      <c r="I86" s="0" t="e">
        <f aca="false">I66</f>
        <v>#DIV/0!</v>
      </c>
      <c r="J86" s="0" t="n">
        <f aca="false">_xlfn.CEILING.MATH(B50*2/1088)*24</f>
        <v>0</v>
      </c>
      <c r="K86" s="0" t="n">
        <f aca="false">_xlfn.CEILING.MATH(B50*C50/64)</f>
        <v>0</v>
      </c>
      <c r="L86" s="0" t="n">
        <f aca="false">_xlfn.CEILING.MATH(B49*2/64)</f>
        <v>0</v>
      </c>
      <c r="M86" s="0" t="n">
        <f aca="false">_xlfn.CEILING.MATH(J48*8/K48)</f>
        <v>3</v>
      </c>
      <c r="N86" s="0" t="s">
        <v>148</v>
      </c>
      <c r="O86" s="0" t="s">
        <v>45</v>
      </c>
    </row>
    <row r="87" customFormat="false" ht="13.8" hidden="false" customHeight="false" outlineLevel="0" collapsed="false">
      <c r="C87" s="0" t="str">
        <f aca="false">C66</f>
        <v>5PKE_0d</v>
      </c>
      <c r="D87" s="0" t="n">
        <f aca="false">H22</f>
        <v>4</v>
      </c>
      <c r="E87" s="0" t="n">
        <f aca="false">_xlfn.CEILING.MATH((3*J6*8)/1088)*24</f>
        <v>24</v>
      </c>
      <c r="F87" s="0" t="n">
        <f aca="false">_xlfn.CEILING.MATH(F6/8)</f>
        <v>123</v>
      </c>
      <c r="G87" s="0" t="n">
        <f aca="false">F67</f>
        <v>0</v>
      </c>
      <c r="H87" s="0" t="n">
        <f aca="false">H67</f>
        <v>1711</v>
      </c>
      <c r="I87" s="0" t="e">
        <f aca="false">I67</f>
        <v>#DIV/0!</v>
      </c>
      <c r="J87" s="0" t="n">
        <f aca="false">_xlfn.CEILING.MATH(B51*2/1088)*24</f>
        <v>0</v>
      </c>
      <c r="K87" s="0" t="n">
        <f aca="false">_xlfn.CEILING.MATH(B51*C51/64)</f>
        <v>0</v>
      </c>
      <c r="L87" s="0" t="n">
        <f aca="false">_xlfn.CEILING.MATH(B50*2/64)</f>
        <v>0</v>
      </c>
      <c r="M87" s="0" t="n">
        <f aca="false">_xlfn.CEILING.MATH(J49*8/K49)</f>
        <v>3</v>
      </c>
      <c r="N87" s="0" t="n">
        <f aca="false">_xlfn.CEILING.MATH(L48/64)</f>
        <v>1</v>
      </c>
      <c r="O87" s="0" t="n">
        <f aca="false">K63</f>
        <v>0</v>
      </c>
      <c r="P87" s="25" t="s">
        <v>149</v>
      </c>
    </row>
    <row r="88" customFormat="false" ht="13.8" hidden="false" customHeight="false" outlineLevel="0" collapsed="false">
      <c r="C88" s="0" t="str">
        <f aca="false">C67</f>
        <v>1KEM_5d</v>
      </c>
      <c r="D88" s="0" t="n">
        <f aca="false">H23</f>
        <v>2</v>
      </c>
      <c r="E88" s="0" t="n">
        <f aca="false">_xlfn.CEILING.MATH((3*J7*8)/1088)*24</f>
        <v>24</v>
      </c>
      <c r="F88" s="0" t="n">
        <f aca="false">_xlfn.CEILING.MATH(F7/8)</f>
        <v>169</v>
      </c>
      <c r="G88" s="0" t="n">
        <f aca="false">F68</f>
        <v>0</v>
      </c>
      <c r="H88" s="0" t="n">
        <f aca="false">H68</f>
        <v>2347</v>
      </c>
      <c r="I88" s="0" t="e">
        <f aca="false">I68</f>
        <v>#DIV/0!</v>
      </c>
      <c r="J88" s="0" t="n">
        <f aca="false">_xlfn.CEILING.MATH(B52*2/1088)*24</f>
        <v>0</v>
      </c>
      <c r="K88" s="0" t="n">
        <f aca="false">_xlfn.CEILING.MATH(B52*C52/64)</f>
        <v>0</v>
      </c>
      <c r="L88" s="0" t="n">
        <f aca="false">_xlfn.CEILING.MATH(B51*2/64)</f>
        <v>0</v>
      </c>
      <c r="M88" s="0" t="e">
        <f aca="false">_xlfn.CEILING.MATH(J50*8/K50)</f>
        <v>#DIV/0!</v>
      </c>
      <c r="N88" s="0" t="n">
        <f aca="false">_xlfn.CEILING.MATH(L49/64)</f>
        <v>1</v>
      </c>
      <c r="O88" s="0" t="n">
        <f aca="false">K64</f>
        <v>0</v>
      </c>
      <c r="P88" s="0" t="n">
        <f aca="false">_xlfn.CEILING.MATH(H48*8/64)</f>
        <v>1</v>
      </c>
      <c r="Q88" s="0" t="s">
        <v>47</v>
      </c>
    </row>
    <row r="89" customFormat="false" ht="13.8" hidden="false" customHeight="false" outlineLevel="0" collapsed="false">
      <c r="C89" s="0" t="str">
        <f aca="false">C68</f>
        <v>3KEM_5d</v>
      </c>
      <c r="D89" s="0" t="n">
        <f aca="false">H24</f>
        <v>3</v>
      </c>
      <c r="E89" s="0" t="n">
        <f aca="false">_xlfn.CEILING.MATH((3*J8*8)/1088)*24</f>
        <v>24</v>
      </c>
      <c r="F89" s="0" t="n">
        <f aca="false">_xlfn.CEILING.MATH(F8/8)</f>
        <v>56</v>
      </c>
      <c r="G89" s="0" t="n">
        <f aca="false">F69</f>
        <v>0</v>
      </c>
      <c r="H89" s="0" t="n">
        <f aca="false">H69</f>
        <v>987</v>
      </c>
      <c r="I89" s="0" t="e">
        <f aca="false">I69</f>
        <v>#DIV/0!</v>
      </c>
      <c r="J89" s="0" t="n">
        <f aca="false">_xlfn.CEILING.MATH(B53*2/1088)*24</f>
        <v>0</v>
      </c>
      <c r="K89" s="0" t="n">
        <f aca="false">_xlfn.CEILING.MATH(B53*C53/64)</f>
        <v>0</v>
      </c>
      <c r="L89" s="0" t="n">
        <f aca="false">_xlfn.CEILING.MATH(B52*2/64)</f>
        <v>0</v>
      </c>
      <c r="M89" s="0" t="e">
        <f aca="false">_xlfn.CEILING.MATH(J51*8/K51)</f>
        <v>#DIV/0!</v>
      </c>
      <c r="N89" s="0" t="n">
        <f aca="false">_xlfn.CEILING.MATH(L50/64)</f>
        <v>1</v>
      </c>
      <c r="O89" s="0" t="str">
        <f aca="false">K65</f>
        <v>Hash</v>
      </c>
      <c r="P89" s="0" t="n">
        <f aca="false">_xlfn.CEILING.MATH(H49*8/64)</f>
        <v>0</v>
      </c>
      <c r="Q89" s="0" t="n">
        <v>24</v>
      </c>
      <c r="R89" s="0" t="s">
        <v>48</v>
      </c>
      <c r="S89" s="26" t="s">
        <v>150</v>
      </c>
    </row>
    <row r="90" customFormat="false" ht="13.8" hidden="false" customHeight="false" outlineLevel="0" collapsed="false">
      <c r="C90" s="0" t="str">
        <f aca="false">C69</f>
        <v>5KEM_5d</v>
      </c>
      <c r="D90" s="0" t="n">
        <f aca="false">H25</f>
        <v>4</v>
      </c>
      <c r="E90" s="0" t="n">
        <f aca="false">_xlfn.CEILING.MATH((3*J9*8)/1088)*24</f>
        <v>24</v>
      </c>
      <c r="F90" s="0" t="n">
        <f aca="false">_xlfn.CEILING.MATH(F9/8)</f>
        <v>98</v>
      </c>
      <c r="G90" s="0" t="n">
        <f aca="false">F70</f>
        <v>0</v>
      </c>
      <c r="H90" s="0" t="n">
        <f aca="false">H70</f>
        <v>1519</v>
      </c>
      <c r="I90" s="0" t="n">
        <f aca="false">I70</f>
        <v>24</v>
      </c>
      <c r="J90" s="0" t="n">
        <f aca="false">_xlfn.CEILING.MATH(B54*2/1088)*24</f>
        <v>0</v>
      </c>
      <c r="K90" s="0" t="n">
        <f aca="false">_xlfn.CEILING.MATH(B54*C54/64)</f>
        <v>0</v>
      </c>
      <c r="L90" s="0" t="n">
        <f aca="false">_xlfn.CEILING.MATH(B53*2/64)</f>
        <v>0</v>
      </c>
      <c r="M90" s="0" t="e">
        <f aca="false">_xlfn.CEILING.MATH(J52*8/K52)</f>
        <v>#DIV/0!</v>
      </c>
      <c r="N90" s="0" t="n">
        <f aca="false">_xlfn.CEILING.MATH(L51/64)</f>
        <v>0</v>
      </c>
      <c r="O90" s="0" t="n">
        <f aca="false">K66</f>
        <v>24</v>
      </c>
      <c r="P90" s="0" t="n">
        <f aca="false">_xlfn.CEILING.MATH(H50*8/64)</f>
        <v>0</v>
      </c>
      <c r="Q90" s="0" t="n">
        <v>24</v>
      </c>
      <c r="R90" s="0" t="n">
        <f aca="false">P88+2</f>
        <v>3</v>
      </c>
      <c r="S90" s="0" t="n">
        <f aca="false">D82+E83+F83+E37+J38+K38+L39+O41+P42+Q43+R44</f>
        <v>3129</v>
      </c>
    </row>
    <row r="91" customFormat="false" ht="13.8" hidden="false" customHeight="false" outlineLevel="0" collapsed="false">
      <c r="C91" s="0" t="str">
        <f aca="false">C70</f>
        <v>1PKE_5d</v>
      </c>
      <c r="D91" s="0" t="n">
        <f aca="false">H26</f>
        <v>2</v>
      </c>
      <c r="E91" s="0" t="n">
        <f aca="false">_xlfn.CEILING.MATH((3*J10*8)/1088)*24</f>
        <v>24</v>
      </c>
      <c r="F91" s="0" t="n">
        <f aca="false">_xlfn.CEILING.MATH(F10/8)</f>
        <v>122</v>
      </c>
      <c r="G91" s="0" t="n">
        <f aca="false">F71</f>
        <v>0</v>
      </c>
      <c r="H91" s="0" t="n">
        <f aca="false">H71</f>
        <v>1887</v>
      </c>
      <c r="I91" s="0" t="n">
        <f aca="false">I71</f>
        <v>30</v>
      </c>
      <c r="J91" s="0" t="n">
        <f aca="false">_xlfn.CEILING.MATH(B55*2/1088)*24</f>
        <v>0</v>
      </c>
      <c r="K91" s="0" t="n">
        <f aca="false">_xlfn.CEILING.MATH(B55*C55/64)</f>
        <v>0</v>
      </c>
      <c r="L91" s="0" t="n">
        <f aca="false">_xlfn.CEILING.MATH(B54*2/64)</f>
        <v>0</v>
      </c>
      <c r="M91" s="0" t="e">
        <f aca="false">_xlfn.CEILING.MATH(J53*8/K53)</f>
        <v>#DIV/0!</v>
      </c>
      <c r="N91" s="0" t="n">
        <f aca="false">_xlfn.CEILING.MATH(L52/64)</f>
        <v>0</v>
      </c>
      <c r="O91" s="0" t="n">
        <f aca="false">K67</f>
        <v>24</v>
      </c>
      <c r="P91" s="0" t="n">
        <f aca="false">_xlfn.CEILING.MATH(H51*8/64)</f>
        <v>0</v>
      </c>
      <c r="Q91" s="0" t="n">
        <v>24</v>
      </c>
      <c r="R91" s="0" t="n">
        <f aca="false">P89+2</f>
        <v>2</v>
      </c>
      <c r="S91" s="0" t="n">
        <f aca="false">D83+E84+F84+E38+J39+K39+L40+O42+P43+Q44+R45</f>
        <v>4040</v>
      </c>
    </row>
    <row r="92" customFormat="false" ht="13.8" hidden="false" customHeight="false" outlineLevel="0" collapsed="false">
      <c r="C92" s="0" t="str">
        <f aca="false">C71</f>
        <v>3PKE_5d</v>
      </c>
      <c r="D92" s="0" t="n">
        <f aca="false">H27</f>
        <v>3</v>
      </c>
      <c r="E92" s="0" t="n">
        <f aca="false">_xlfn.CEILING.MATH((3*J11*8)/1088)*24</f>
        <v>24</v>
      </c>
      <c r="F92" s="0" t="n">
        <f aca="false">_xlfn.CEILING.MATH(F11/8)</f>
        <v>58</v>
      </c>
      <c r="G92" s="0" t="n">
        <f aca="false">F72</f>
        <v>0</v>
      </c>
      <c r="H92" s="0" t="n">
        <f aca="false">H72</f>
        <v>1023</v>
      </c>
      <c r="I92" s="0" t="n">
        <f aca="false">I72</f>
        <v>32</v>
      </c>
      <c r="J92" s="0" t="n">
        <f aca="false">_xlfn.CEILING.MATH(B56*2/1088)*24</f>
        <v>0</v>
      </c>
      <c r="K92" s="0" t="n">
        <f aca="false">_xlfn.CEILING.MATH(B56*C56/64)</f>
        <v>0</v>
      </c>
      <c r="L92" s="0" t="n">
        <f aca="false">_xlfn.CEILING.MATH(B55*2/64)</f>
        <v>0</v>
      </c>
      <c r="M92" s="0" t="e">
        <f aca="false">_xlfn.CEILING.MATH(J54*8/K54)</f>
        <v>#DIV/0!</v>
      </c>
      <c r="N92" s="0" t="n">
        <f aca="false">_xlfn.CEILING.MATH(L53/64)</f>
        <v>0</v>
      </c>
      <c r="O92" s="0" t="n">
        <f aca="false">K68</f>
        <v>24</v>
      </c>
      <c r="P92" s="0" t="n">
        <f aca="false">_xlfn.CEILING.MATH(H52*8/64)</f>
        <v>0</v>
      </c>
      <c r="Q92" s="0" t="n">
        <v>24</v>
      </c>
      <c r="R92" s="0" t="n">
        <f aca="false">P90+2</f>
        <v>2</v>
      </c>
      <c r="S92" s="0" t="n">
        <f aca="false">D84+E85+F85+E39+J40+K40+L41+O43+P44+Q45+R46</f>
        <v>5243</v>
      </c>
    </row>
    <row r="93" customFormat="false" ht="13.8" hidden="false" customHeight="false" outlineLevel="0" collapsed="false">
      <c r="C93" s="0" t="str">
        <f aca="false">C72</f>
        <v>5PKE_5d</v>
      </c>
      <c r="D93" s="0" t="n">
        <f aca="false">H28</f>
        <v>4</v>
      </c>
      <c r="E93" s="0" t="n">
        <f aca="false">_xlfn.CEILING.MATH((3*J12*8)/1088)*24</f>
        <v>24</v>
      </c>
      <c r="F93" s="0" t="n">
        <f aca="false">_xlfn.CEILING.MATH(F12/8)</f>
        <v>98</v>
      </c>
      <c r="G93" s="0" t="n">
        <f aca="false">F73</f>
        <v>0</v>
      </c>
      <c r="H93" s="0" t="n">
        <f aca="false">H73</f>
        <v>1519</v>
      </c>
      <c r="I93" s="0" t="n">
        <f aca="false">I73</f>
        <v>24</v>
      </c>
      <c r="J93" s="0" t="n">
        <f aca="false">_xlfn.CEILING.MATH(B57*2/1088)*24</f>
        <v>0</v>
      </c>
      <c r="K93" s="0" t="n">
        <f aca="false">_xlfn.CEILING.MATH(B57*C57/64)</f>
        <v>0</v>
      </c>
      <c r="L93" s="0" t="n">
        <f aca="false">_xlfn.CEILING.MATH(B56*2/64)</f>
        <v>0</v>
      </c>
      <c r="M93" s="0" t="e">
        <f aca="false">_xlfn.CEILING.MATH(J55*8/K55)</f>
        <v>#DIV/0!</v>
      </c>
      <c r="N93" s="0" t="n">
        <f aca="false">_xlfn.CEILING.MATH(L54/64)</f>
        <v>0</v>
      </c>
      <c r="O93" s="0" t="n">
        <f aca="false">K69</f>
        <v>24</v>
      </c>
      <c r="P93" s="0" t="n">
        <f aca="false">_xlfn.CEILING.MATH(H53*8/64)</f>
        <v>0</v>
      </c>
      <c r="Q93" s="0" t="n">
        <v>24</v>
      </c>
      <c r="R93" s="0" t="n">
        <f aca="false">P91+2</f>
        <v>2</v>
      </c>
      <c r="S93" s="0" t="n">
        <f aca="false">D85+E86+F86+E40+J41+K41+L42+O44+P45+Q46+R47</f>
        <v>2870</v>
      </c>
    </row>
    <row r="94" customFormat="false" ht="13.8" hidden="false" customHeight="false" outlineLevel="0" collapsed="false">
      <c r="E94" s="0" t="n">
        <f aca="false">_xlfn.CEILING.MATH((3*J13*8)/1088)*24</f>
        <v>24</v>
      </c>
      <c r="F94" s="0" t="n">
        <f aca="false">_xlfn.CEILING.MATH(F13/8)</f>
        <v>123</v>
      </c>
      <c r="G94" s="0" t="n">
        <f aca="false">F74</f>
        <v>0</v>
      </c>
      <c r="H94" s="0" t="n">
        <f aca="false">H74</f>
        <v>1899</v>
      </c>
      <c r="I94" s="0" t="n">
        <f aca="false">I74</f>
        <v>30</v>
      </c>
      <c r="J94" s="0" t="n">
        <f aca="false">_xlfn.CEILING.MATH(B58*2/1088)*24</f>
        <v>0</v>
      </c>
      <c r="K94" s="0" t="n">
        <f aca="false">_xlfn.CEILING.MATH(B58*C58/64)</f>
        <v>0</v>
      </c>
      <c r="L94" s="0" t="n">
        <f aca="false">_xlfn.CEILING.MATH(B57*2/64)</f>
        <v>0</v>
      </c>
      <c r="M94" s="0" t="e">
        <f aca="false">_xlfn.CEILING.MATH(J56*8/K56)</f>
        <v>#DIV/0!</v>
      </c>
      <c r="N94" s="0" t="n">
        <f aca="false">_xlfn.CEILING.MATH(L55/64)</f>
        <v>0</v>
      </c>
      <c r="O94" s="0" t="n">
        <f aca="false">K70</f>
        <v>24</v>
      </c>
      <c r="P94" s="0" t="n">
        <f aca="false">_xlfn.CEILING.MATH(H54*8/64)</f>
        <v>0</v>
      </c>
      <c r="Q94" s="0" t="n">
        <v>24</v>
      </c>
      <c r="R94" s="0" t="n">
        <f aca="false">P92+2</f>
        <v>2</v>
      </c>
      <c r="S94" s="0" t="n">
        <f aca="false">D86+E87+F87+E41+J42+K42+L43+O45+P46+Q47+R48</f>
        <v>4069</v>
      </c>
    </row>
    <row r="95" customFormat="false" ht="13.8" hidden="false" customHeight="false" outlineLevel="0" collapsed="false">
      <c r="J95" s="0" t="n">
        <f aca="false">_xlfn.CEILING.MATH(B59*2/1088)*24</f>
        <v>0</v>
      </c>
      <c r="K95" s="0" t="n">
        <f aca="false">_xlfn.CEILING.MATH(B59*C59/64)</f>
        <v>0</v>
      </c>
      <c r="L95" s="0" t="n">
        <f aca="false">_xlfn.CEILING.MATH(B58*2/64)</f>
        <v>0</v>
      </c>
      <c r="M95" s="0" t="e">
        <f aca="false">_xlfn.CEILING.MATH(J57*8/K57)</f>
        <v>#DIV/0!</v>
      </c>
      <c r="N95" s="0" t="n">
        <f aca="false">_xlfn.CEILING.MATH(L56/64)</f>
        <v>0</v>
      </c>
      <c r="O95" s="0" t="n">
        <f aca="false">K71</f>
        <v>24</v>
      </c>
      <c r="P95" s="0" t="n">
        <f aca="false">_xlfn.CEILING.MATH(H55*8/64)</f>
        <v>0</v>
      </c>
      <c r="Q95" s="0" t="n">
        <v>24</v>
      </c>
      <c r="R95" s="0" t="n">
        <f aca="false">P93+2</f>
        <v>2</v>
      </c>
      <c r="S95" s="0" t="n">
        <f aca="false">D87+E88+F88+E42+J43+K43+L44+O46+P47+Q48+R49</f>
        <v>5596</v>
      </c>
    </row>
    <row r="96" customFormat="false" ht="13.8" hidden="false" customHeight="false" outlineLevel="0" collapsed="false">
      <c r="L96" s="0" t="n">
        <f aca="false">_xlfn.CEILING.MATH(B59*2/64)</f>
        <v>0</v>
      </c>
      <c r="M96" s="0" t="e">
        <f aca="false">_xlfn.CEILING.MATH(J58*8/K58)</f>
        <v>#DIV/0!</v>
      </c>
      <c r="N96" s="0" t="n">
        <f aca="false">_xlfn.CEILING.MATH(L57/64)</f>
        <v>0</v>
      </c>
      <c r="O96" s="0" t="n">
        <f aca="false">K72</f>
        <v>24</v>
      </c>
      <c r="P96" s="0" t="n">
        <f aca="false">_xlfn.CEILING.MATH(H56*8/64)</f>
        <v>0</v>
      </c>
      <c r="Q96" s="0" t="n">
        <v>24</v>
      </c>
      <c r="R96" s="0" t="n">
        <f aca="false">P94+2</f>
        <v>2</v>
      </c>
      <c r="S96" s="0" t="n">
        <f aca="false">D88+E89+F89+E43+J44+K44+L45+O47+P48+Q49+R50</f>
        <v>2453</v>
      </c>
    </row>
    <row r="97" customFormat="false" ht="13.8" hidden="false" customHeight="false" outlineLevel="0" collapsed="false">
      <c r="M97" s="0" t="e">
        <f aca="false">_xlfn.CEILING.MATH(J59*8/K59)</f>
        <v>#DIV/0!</v>
      </c>
      <c r="N97" s="0" t="n">
        <f aca="false">_xlfn.CEILING.MATH(L58/64)</f>
        <v>0</v>
      </c>
      <c r="O97" s="0" t="n">
        <f aca="false">K73</f>
        <v>24</v>
      </c>
      <c r="P97" s="0" t="n">
        <f aca="false">_xlfn.CEILING.MATH(H57*8/64)</f>
        <v>0</v>
      </c>
      <c r="Q97" s="0" t="n">
        <v>24</v>
      </c>
      <c r="R97" s="0" t="n">
        <f aca="false">P95+2</f>
        <v>2</v>
      </c>
      <c r="S97" s="0" t="n">
        <f aca="false">D89+E90+F90+E44+J45+K45+L46+O48+P49+Q50+R51</f>
        <v>3831</v>
      </c>
    </row>
    <row r="98" customFormat="false" ht="13.8" hidden="false" customHeight="false" outlineLevel="0" collapsed="false">
      <c r="N98" s="0" t="n">
        <f aca="false">_xlfn.CEILING.MATH(L59/64)</f>
        <v>0</v>
      </c>
      <c r="O98" s="0" t="n">
        <f aca="false">K74</f>
        <v>24</v>
      </c>
      <c r="P98" s="0" t="n">
        <f aca="false">_xlfn.CEILING.MATH(H58*8/64)</f>
        <v>0</v>
      </c>
      <c r="Q98" s="0" t="n">
        <v>24</v>
      </c>
      <c r="R98" s="0" t="n">
        <f aca="false">P96+2</f>
        <v>2</v>
      </c>
      <c r="S98" s="0" t="n">
        <f aca="false">D90+E91+F91+E45+J46+K46+L47+O49+P50+Q51+R52</f>
        <v>4731</v>
      </c>
    </row>
    <row r="99" customFormat="false" ht="13.8" hidden="false" customHeight="false" outlineLevel="0" collapsed="false">
      <c r="P99" s="0" t="n">
        <f aca="false">_xlfn.CEILING.MATH(H59*8/64)</f>
        <v>0</v>
      </c>
      <c r="Q99" s="0" t="n">
        <v>24</v>
      </c>
      <c r="R99" s="0" t="n">
        <f aca="false">P97+2</f>
        <v>2</v>
      </c>
      <c r="S99" s="0" t="n">
        <f aca="false">D91+E92+F92+E46+J47+K47+L48+O50+P51+Q52+R53</f>
        <v>2392</v>
      </c>
    </row>
    <row r="100" customFormat="false" ht="13.8" hidden="false" customHeight="false" outlineLevel="0" collapsed="false">
      <c r="Q100" s="0" t="n">
        <v>24</v>
      </c>
      <c r="R100" s="0" t="n">
        <f aca="false">P98+2</f>
        <v>2</v>
      </c>
      <c r="S100" s="0" t="n">
        <f aca="false">D92+E93+F93+E47+J48+K48+L49+O51+P52+Q53+R54</f>
        <v>3615</v>
      </c>
    </row>
    <row r="101" customFormat="false" ht="13.8" hidden="false" customHeight="false" outlineLevel="0" collapsed="false">
      <c r="R101" s="0" t="n">
        <f aca="false">P99+2</f>
        <v>2</v>
      </c>
      <c r="S101" s="0" t="n">
        <f aca="false">D93+E94+F94+E48+J49+K49+L50+O52+P53+Q54+R55</f>
        <v>4452</v>
      </c>
    </row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>
      <c r="D104" s="0" t="s">
        <v>157</v>
      </c>
    </row>
    <row r="105" customFormat="false" ht="13.8" hidden="false" customHeight="false" outlineLevel="0" collapsed="false"/>
    <row r="106" customFormat="false" ht="13.8" hidden="false" customHeight="false" outlineLevel="0" collapsed="false">
      <c r="D106" s="0" t="s">
        <v>152</v>
      </c>
    </row>
    <row r="107" customFormat="false" ht="13.8" hidden="false" customHeight="false" outlineLevel="0" collapsed="false">
      <c r="C107" s="0" t="str">
        <f aca="false">C82</f>
        <v>1KEM_0d</v>
      </c>
      <c r="D107" s="0" t="n">
        <f aca="false">G63</f>
        <v>111</v>
      </c>
      <c r="E107" s="0" t="s">
        <v>51</v>
      </c>
      <c r="F107" s="0" t="s">
        <v>127</v>
      </c>
      <c r="G107" s="0" t="s">
        <v>53</v>
      </c>
    </row>
    <row r="108" customFormat="false" ht="13.8" hidden="false" customHeight="false" outlineLevel="0" collapsed="false">
      <c r="C108" s="0" t="str">
        <f aca="false">C83</f>
        <v>3KEM_0d</v>
      </c>
      <c r="D108" s="0" t="n">
        <f aca="false">G64</f>
        <v>144</v>
      </c>
      <c r="E108" s="0" t="n">
        <f aca="false">_xlfn.CEILING.MATH(B48*D48/1088)*24</f>
        <v>0</v>
      </c>
      <c r="G108" s="0" t="n">
        <f aca="false">_xlfn.CEILING.MATH(B48*D48/64)</f>
        <v>0</v>
      </c>
      <c r="H108" s="0" t="s">
        <v>55</v>
      </c>
    </row>
    <row r="109" customFormat="false" ht="13.8" hidden="false" customHeight="false" outlineLevel="0" collapsed="false">
      <c r="C109" s="0" t="str">
        <f aca="false">C84</f>
        <v>5KEM_0d</v>
      </c>
      <c r="D109" s="0" t="n">
        <f aca="false">G65</f>
        <v>83</v>
      </c>
      <c r="E109" s="0" t="n">
        <f aca="false">_xlfn.CEILING.MATH(B49*D49/1088)*24</f>
        <v>0</v>
      </c>
      <c r="G109" s="0" t="n">
        <f aca="false">_xlfn.CEILING.MATH(B49*D49/64)</f>
        <v>0</v>
      </c>
      <c r="H109" s="0" t="n">
        <f aca="false">L63</f>
        <v>0</v>
      </c>
      <c r="I109" s="0" t="s">
        <v>153</v>
      </c>
    </row>
    <row r="110" customFormat="false" ht="13.8" hidden="false" customHeight="false" outlineLevel="0" collapsed="false">
      <c r="C110" s="0" t="str">
        <f aca="false">C85</f>
        <v>1PKE_0d</v>
      </c>
      <c r="D110" s="0" t="n">
        <f aca="false">G66</f>
        <v>120</v>
      </c>
      <c r="E110" s="0" t="n">
        <f aca="false">_xlfn.CEILING.MATH(B50*D50/1088)*24</f>
        <v>0</v>
      </c>
      <c r="G110" s="0" t="n">
        <f aca="false">_xlfn.CEILING.MATH(B50*D50/64)</f>
        <v>0</v>
      </c>
      <c r="H110" s="0" t="n">
        <f aca="false">L64</f>
        <v>0</v>
      </c>
      <c r="I110" s="0" t="n">
        <f aca="false">2*(_xlfn.CEILING.MATH(J48*8/K48))</f>
        <v>6</v>
      </c>
      <c r="J110" s="0" t="s">
        <v>56</v>
      </c>
    </row>
    <row r="111" customFormat="false" ht="13.8" hidden="false" customHeight="false" outlineLevel="0" collapsed="false">
      <c r="C111" s="0" t="str">
        <f aca="false">C86</f>
        <v>3PKE_0d</v>
      </c>
      <c r="D111" s="0" t="n">
        <f aca="false">G67</f>
        <v>165</v>
      </c>
      <c r="E111" s="0" t="n">
        <f aca="false">_xlfn.CEILING.MATH(B51*D51/1088)*24</f>
        <v>0</v>
      </c>
      <c r="G111" s="0" t="n">
        <f aca="false">_xlfn.CEILING.MATH(B51*D51/64)</f>
        <v>0</v>
      </c>
      <c r="H111" s="0" t="n">
        <f aca="false">L65</f>
        <v>0</v>
      </c>
      <c r="I111" s="0" t="n">
        <f aca="false">2*(_xlfn.CEILING.MATH(J49*8/K49))</f>
        <v>6</v>
      </c>
      <c r="J111" s="0" t="n">
        <f aca="false">F63</f>
        <v>0</v>
      </c>
      <c r="K111" s="0" t="s">
        <v>47</v>
      </c>
    </row>
    <row r="112" customFormat="false" ht="13.8" hidden="false" customHeight="false" outlineLevel="0" collapsed="false">
      <c r="C112" s="0" t="str">
        <f aca="false">C87</f>
        <v>5PKE_0d</v>
      </c>
      <c r="D112" s="0" t="n">
        <f aca="false">G68</f>
        <v>54</v>
      </c>
      <c r="E112" s="0" t="n">
        <f aca="false">_xlfn.CEILING.MATH(B52*D52/1088)*24</f>
        <v>0</v>
      </c>
      <c r="G112" s="0" t="n">
        <f aca="false">_xlfn.CEILING.MATH(B52*D52/64)</f>
        <v>0</v>
      </c>
      <c r="H112" s="0" t="str">
        <f aca="false">L66</f>
        <v>ReadRes</v>
      </c>
      <c r="I112" s="0" t="e">
        <f aca="false">2*(_xlfn.CEILING.MATH(J50*8/K50))</f>
        <v>#DIV/0!</v>
      </c>
      <c r="J112" s="0" t="n">
        <f aca="false">F64</f>
        <v>0</v>
      </c>
      <c r="K112" s="0" t="n">
        <v>24</v>
      </c>
      <c r="L112" s="0" t="s">
        <v>57</v>
      </c>
      <c r="M112" s="26" t="s">
        <v>150</v>
      </c>
    </row>
    <row r="113" customFormat="false" ht="13.8" hidden="false" customHeight="false" outlineLevel="0" collapsed="false">
      <c r="C113" s="0" t="str">
        <f aca="false">C88</f>
        <v>1KEM_5d</v>
      </c>
      <c r="D113" s="0" t="n">
        <f aca="false">G69</f>
        <v>95</v>
      </c>
      <c r="E113" s="0" t="n">
        <f aca="false">_xlfn.CEILING.MATH(B53*D53/1088)*24</f>
        <v>0</v>
      </c>
      <c r="G113" s="0" t="n">
        <f aca="false">_xlfn.CEILING.MATH(B53*D53/64)</f>
        <v>0</v>
      </c>
      <c r="H113" s="0" t="n">
        <f aca="false">L67</f>
        <v>4</v>
      </c>
      <c r="I113" s="0" t="e">
        <f aca="false">2*(_xlfn.CEILING.MATH(J51*8/K51))</f>
        <v>#DIV/0!</v>
      </c>
      <c r="J113" s="0" t="n">
        <f aca="false">F65</f>
        <v>0</v>
      </c>
      <c r="K113" s="0" t="n">
        <v>24</v>
      </c>
      <c r="L113" s="0" t="n">
        <f aca="false">F63+G63</f>
        <v>111</v>
      </c>
      <c r="M113" s="0" t="n">
        <f aca="false">L113+K112+J111+H109+E108+D107</f>
        <v>246</v>
      </c>
    </row>
    <row r="114" customFormat="false" ht="13.8" hidden="false" customHeight="false" outlineLevel="0" collapsed="false">
      <c r="C114" s="0" t="str">
        <f aca="false">C89</f>
        <v>3KEM_5d</v>
      </c>
      <c r="D114" s="0" t="n">
        <f aca="false">G70</f>
        <v>118</v>
      </c>
      <c r="E114" s="0" t="n">
        <f aca="false">_xlfn.CEILING.MATH(B54*D54/1088)*24</f>
        <v>0</v>
      </c>
      <c r="G114" s="0" t="n">
        <f aca="false">_xlfn.CEILING.MATH(B54*D54/64)</f>
        <v>0</v>
      </c>
      <c r="H114" s="0" t="n">
        <f aca="false">L68</f>
        <v>6</v>
      </c>
      <c r="I114" s="0" t="e">
        <f aca="false">2*(_xlfn.CEILING.MATH(J52*8/K52))</f>
        <v>#DIV/0!</v>
      </c>
      <c r="J114" s="0" t="n">
        <f aca="false">F66</f>
        <v>0</v>
      </c>
      <c r="K114" s="0" t="n">
        <v>24</v>
      </c>
      <c r="L114" s="0" t="n">
        <f aca="false">F64+G64</f>
        <v>144</v>
      </c>
      <c r="M114" s="0" t="n">
        <f aca="false">L114+K113+J112+H110+E109+D108</f>
        <v>312</v>
      </c>
    </row>
    <row r="115" customFormat="false" ht="13.8" hidden="false" customHeight="false" outlineLevel="0" collapsed="false">
      <c r="C115" s="0" t="str">
        <f aca="false">C90</f>
        <v>5KEM_5d</v>
      </c>
      <c r="D115" s="0" t="n">
        <f aca="false">G71</f>
        <v>56</v>
      </c>
      <c r="E115" s="0" t="n">
        <f aca="false">_xlfn.CEILING.MATH(B55*D55/1088)*24</f>
        <v>0</v>
      </c>
      <c r="G115" s="0" t="n">
        <f aca="false">_xlfn.CEILING.MATH(B55*D55/64)</f>
        <v>0</v>
      </c>
      <c r="H115" s="0" t="n">
        <f aca="false">L69</f>
        <v>8</v>
      </c>
      <c r="I115" s="0" t="e">
        <f aca="false">2*(_xlfn.CEILING.MATH(J53*8/K53))</f>
        <v>#DIV/0!</v>
      </c>
      <c r="J115" s="0" t="n">
        <f aca="false">F67</f>
        <v>0</v>
      </c>
      <c r="K115" s="0" t="n">
        <v>24</v>
      </c>
      <c r="L115" s="0" t="n">
        <f aca="false">F65+G65</f>
        <v>83</v>
      </c>
      <c r="M115" s="0" t="n">
        <f aca="false">L115+K114+J113+H111+E110+D109</f>
        <v>190</v>
      </c>
    </row>
    <row r="116" customFormat="false" ht="13.8" hidden="false" customHeight="false" outlineLevel="0" collapsed="false">
      <c r="C116" s="0" t="str">
        <f aca="false">C91</f>
        <v>1PKE_5d</v>
      </c>
      <c r="D116" s="0" t="n">
        <f aca="false">G72</f>
        <v>95</v>
      </c>
      <c r="E116" s="0" t="n">
        <f aca="false">_xlfn.CEILING.MATH(B56*D56/1088)*24</f>
        <v>0</v>
      </c>
      <c r="G116" s="0" t="n">
        <f aca="false">_xlfn.CEILING.MATH(B56*D56/64)</f>
        <v>0</v>
      </c>
      <c r="H116" s="0" t="n">
        <f aca="false">L70</f>
        <v>91</v>
      </c>
      <c r="I116" s="0" t="e">
        <f aca="false">2*(_xlfn.CEILING.MATH(J54*8/K54))</f>
        <v>#DIV/0!</v>
      </c>
      <c r="J116" s="0" t="n">
        <f aca="false">F68</f>
        <v>0</v>
      </c>
      <c r="K116" s="0" t="n">
        <v>24</v>
      </c>
      <c r="L116" s="0" t="n">
        <f aca="false">F66+G66</f>
        <v>120</v>
      </c>
      <c r="M116" s="0" t="e">
        <f aca="false">L116+K115+J114+H112+E111+D110</f>
        <v>#VALUE!</v>
      </c>
    </row>
    <row r="117" customFormat="false" ht="13.8" hidden="false" customHeight="false" outlineLevel="0" collapsed="false">
      <c r="C117" s="0" t="str">
        <f aca="false">C92</f>
        <v>3PKE_5d</v>
      </c>
      <c r="D117" s="0" t="n">
        <f aca="false">G73</f>
        <v>119</v>
      </c>
      <c r="E117" s="0" t="n">
        <f aca="false">_xlfn.CEILING.MATH(B57*D57/1088)*24</f>
        <v>0</v>
      </c>
      <c r="G117" s="0" t="n">
        <f aca="false">_xlfn.CEILING.MATH(B57*D57/64)</f>
        <v>0</v>
      </c>
      <c r="H117" s="0" t="n">
        <f aca="false">L71</f>
        <v>132</v>
      </c>
      <c r="I117" s="0" t="e">
        <f aca="false">2*(_xlfn.CEILING.MATH(J55*8/K55))</f>
        <v>#DIV/0!</v>
      </c>
      <c r="J117" s="0" t="n">
        <f aca="false">F69</f>
        <v>0</v>
      </c>
      <c r="K117" s="0" t="n">
        <v>24</v>
      </c>
      <c r="L117" s="0" t="n">
        <f aca="false">F67+G67</f>
        <v>165</v>
      </c>
      <c r="M117" s="0" t="n">
        <f aca="false">L117+K116+J115+H113+E112+D111</f>
        <v>358</v>
      </c>
    </row>
    <row r="118" customFormat="false" ht="13.8" hidden="false" customHeight="false" outlineLevel="0" collapsed="false">
      <c r="C118" s="0" t="str">
        <f aca="false">C93</f>
        <v>5PKE_5d</v>
      </c>
      <c r="D118" s="0" t="n">
        <f aca="false">G74</f>
        <v>0</v>
      </c>
      <c r="E118" s="0" t="e">
        <f aca="false">_xlfn.CEILING.MATH(B58*D58/1088)*24</f>
        <v>#VALUE!</v>
      </c>
      <c r="G118" s="0" t="e">
        <f aca="false">_xlfn.CEILING.MATH(B58*D58/64)</f>
        <v>#VALUE!</v>
      </c>
      <c r="H118" s="0" t="n">
        <f aca="false">L72</f>
        <v>181</v>
      </c>
      <c r="I118" s="0" t="e">
        <f aca="false">2*(_xlfn.CEILING.MATH(J56*8/K56))</f>
        <v>#DIV/0!</v>
      </c>
      <c r="J118" s="0" t="n">
        <f aca="false">F70</f>
        <v>0</v>
      </c>
      <c r="K118" s="0" t="n">
        <v>24</v>
      </c>
      <c r="L118" s="0" t="n">
        <f aca="false">F68+G68</f>
        <v>54</v>
      </c>
      <c r="M118" s="0" t="n">
        <f aca="false">L118+K117+J116+H114+E113+D112</f>
        <v>138</v>
      </c>
    </row>
    <row r="119" customFormat="false" ht="13.8" hidden="false" customHeight="false" outlineLevel="0" collapsed="false">
      <c r="E119" s="0" t="n">
        <f aca="false">_xlfn.CEILING.MATH(B59*D59/1088)*24</f>
        <v>0</v>
      </c>
      <c r="G119" s="0" t="n">
        <f aca="false">_xlfn.CEILING.MATH(B59*D59/64)</f>
        <v>0</v>
      </c>
      <c r="H119" s="0" t="n">
        <f aca="false">L73</f>
        <v>4</v>
      </c>
      <c r="I119" s="0" t="e">
        <f aca="false">2*(_xlfn.CEILING.MATH(J57*8/K57))</f>
        <v>#DIV/0!</v>
      </c>
      <c r="J119" s="0" t="n">
        <f aca="false">F71</f>
        <v>0</v>
      </c>
      <c r="K119" s="0" t="n">
        <v>24</v>
      </c>
      <c r="L119" s="0" t="n">
        <f aca="false">F69+G69</f>
        <v>95</v>
      </c>
      <c r="M119" s="0" t="e">
        <f aca="false">L119+K118+J117+H115+E114+D113+I116</f>
        <v>#DIV/0!</v>
      </c>
    </row>
    <row r="120" customFormat="false" ht="13.8" hidden="false" customHeight="false" outlineLevel="0" collapsed="false">
      <c r="H120" s="0" t="n">
        <f aca="false">L74</f>
        <v>6</v>
      </c>
      <c r="I120" s="0" t="e">
        <f aca="false">2*(_xlfn.CEILING.MATH(J58*8/K58))</f>
        <v>#DIV/0!</v>
      </c>
      <c r="J120" s="0" t="n">
        <f aca="false">F72</f>
        <v>0</v>
      </c>
      <c r="K120" s="0" t="n">
        <v>24</v>
      </c>
      <c r="L120" s="0" t="n">
        <f aca="false">F70+G70</f>
        <v>118</v>
      </c>
      <c r="M120" s="0" t="e">
        <f aca="false">L120+K119+J118+H116+E115+D114+I117</f>
        <v>#DIV/0!</v>
      </c>
    </row>
    <row r="121" customFormat="false" ht="13.8" hidden="false" customHeight="false" outlineLevel="0" collapsed="false">
      <c r="I121" s="0" t="e">
        <f aca="false">2*(_xlfn.CEILING.MATH(J59*8/K59))</f>
        <v>#DIV/0!</v>
      </c>
      <c r="J121" s="0" t="n">
        <f aca="false">F73</f>
        <v>0</v>
      </c>
      <c r="K121" s="0" t="n">
        <v>24</v>
      </c>
      <c r="L121" s="0" t="n">
        <f aca="false">F71+G71</f>
        <v>56</v>
      </c>
      <c r="M121" s="0" t="e">
        <f aca="false">L121+K120+J119+H117+E116+D115+I118</f>
        <v>#DIV/0!</v>
      </c>
    </row>
    <row r="122" customFormat="false" ht="13.8" hidden="false" customHeight="false" outlineLevel="0" collapsed="false">
      <c r="J122" s="0" t="n">
        <f aca="false">F74</f>
        <v>0</v>
      </c>
      <c r="K122" s="0" t="n">
        <v>24</v>
      </c>
      <c r="L122" s="0" t="n">
        <f aca="false">F72+G72</f>
        <v>95</v>
      </c>
      <c r="M122" s="0" t="e">
        <f aca="false">L122+K121+J120+H118+E117+D116+I119</f>
        <v>#DIV/0!</v>
      </c>
    </row>
    <row r="123" customFormat="false" ht="13.8" hidden="false" customHeight="false" outlineLevel="0" collapsed="false">
      <c r="K123" s="0" t="n">
        <v>24</v>
      </c>
      <c r="L123" s="0" t="n">
        <f aca="false">F73+G73</f>
        <v>119</v>
      </c>
      <c r="M123" s="0" t="e">
        <f aca="false">L123+K122+J121+H119+E118+D117+I120</f>
        <v>#VALUE!</v>
      </c>
    </row>
    <row r="124" customFormat="false" ht="13.8" hidden="false" customHeight="false" outlineLevel="0" collapsed="false">
      <c r="L124" s="0" t="n">
        <f aca="false">F74+G74</f>
        <v>0</v>
      </c>
      <c r="M124" s="0" t="e">
        <f aca="false">L124+K123+J122+H120+E119+D118+I121</f>
        <v>#DIV/0!</v>
      </c>
    </row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>
      <c r="D127" s="0" t="s">
        <v>158</v>
      </c>
    </row>
    <row r="128" customFormat="false" ht="13.8" hidden="false" customHeight="false" outlineLevel="0" collapsed="false"/>
    <row r="129" customFormat="false" ht="13.8" hidden="false" customHeight="false" outlineLevel="0" collapsed="false">
      <c r="D129" s="0" t="s">
        <v>58</v>
      </c>
    </row>
    <row r="130" customFormat="false" ht="13.8" hidden="false" customHeight="false" outlineLevel="0" collapsed="false">
      <c r="C130" s="0" t="str">
        <f aca="false">C61</f>
        <v>1KEM_0d</v>
      </c>
      <c r="D130" s="0" t="n">
        <f aca="false">_xlfn.CEILING.MATH(F2*8/64)</f>
        <v>80</v>
      </c>
      <c r="E130" s="0" t="s">
        <v>59</v>
      </c>
      <c r="F130" s="0" t="s">
        <v>60</v>
      </c>
    </row>
    <row r="131" customFormat="false" ht="13.8" hidden="false" customHeight="false" outlineLevel="0" collapsed="false">
      <c r="C131" s="0" t="str">
        <f aca="false">C62</f>
        <v>3KEM_0d</v>
      </c>
      <c r="D131" s="0" t="n">
        <f aca="false">_xlfn.CEILING.MATH(F3*8/64)</f>
        <v>114</v>
      </c>
      <c r="E131" s="0" t="n">
        <v>24</v>
      </c>
      <c r="F131" s="0" t="n">
        <f aca="false">_xlfn.CEILING.MATH(B2*C2/1088)*24</f>
        <v>168</v>
      </c>
      <c r="G131" s="0" t="s">
        <v>61</v>
      </c>
      <c r="H131" s="0" t="s">
        <v>39</v>
      </c>
    </row>
    <row r="132" customFormat="false" ht="13.8" hidden="false" customHeight="false" outlineLevel="0" collapsed="false">
      <c r="C132" s="0" t="str">
        <f aca="false">C63</f>
        <v>5KEM_0d</v>
      </c>
      <c r="D132" s="0" t="n">
        <f aca="false">_xlfn.CEILING.MATH(F4*8/64)</f>
        <v>148</v>
      </c>
      <c r="E132" s="0" t="n">
        <v>24</v>
      </c>
      <c r="F132" s="0" t="n">
        <f aca="false">_xlfn.CEILING.MATH(B3*C3/1088)*24</f>
        <v>240</v>
      </c>
      <c r="G132" s="0" t="n">
        <f aca="false">_xlfn.CEILING.MATH(B2*2/1088)*24</f>
        <v>48</v>
      </c>
      <c r="H132" s="0" t="n">
        <f aca="false">_xlfn.CEILING.MATH(B2*C2/64)</f>
        <v>107</v>
      </c>
      <c r="J132" s="0" t="s">
        <v>62</v>
      </c>
    </row>
    <row r="133" customFormat="false" ht="13.8" hidden="false" customHeight="false" outlineLevel="0" collapsed="false">
      <c r="C133" s="0" t="str">
        <f aca="false">C64</f>
        <v>1PKE_0d</v>
      </c>
      <c r="D133" s="0" t="n">
        <f aca="false">_xlfn.CEILING.MATH(F5*8/64)</f>
        <v>85</v>
      </c>
      <c r="E133" s="0" t="n">
        <v>24</v>
      </c>
      <c r="F133" s="0" t="n">
        <f aca="false">_xlfn.CEILING.MATH(B4*C4/1088)*24</f>
        <v>336</v>
      </c>
      <c r="G133" s="0" t="n">
        <f aca="false">_xlfn.CEILING.MATH(B3*2/1088)*24</f>
        <v>48</v>
      </c>
      <c r="H133" s="0" t="n">
        <f aca="false">_xlfn.CEILING.MATH(B3*C3/64)</f>
        <v>160</v>
      </c>
      <c r="J133" s="0" t="n">
        <f aca="false">_xlfn.CEILING.MATH(B2*2/64)</f>
        <v>20</v>
      </c>
      <c r="K133" s="0" t="s">
        <v>159</v>
      </c>
      <c r="L133" s="0" t="s">
        <v>45</v>
      </c>
    </row>
    <row r="134" customFormat="false" ht="13.8" hidden="false" customHeight="false" outlineLevel="0" collapsed="false">
      <c r="C134" s="0" t="str">
        <f aca="false">C65</f>
        <v>3PKE_0d</v>
      </c>
      <c r="D134" s="0" t="n">
        <f aca="false">_xlfn.CEILING.MATH(F6*8/64)</f>
        <v>123</v>
      </c>
      <c r="E134" s="0" t="n">
        <v>24</v>
      </c>
      <c r="F134" s="0" t="n">
        <f aca="false">_xlfn.CEILING.MATH(B5*C5/1088)*24</f>
        <v>192</v>
      </c>
      <c r="G134" s="0" t="n">
        <f aca="false">_xlfn.CEILING.MATH(B4*2/1088)*24</f>
        <v>48</v>
      </c>
      <c r="H134" s="0" t="n">
        <f aca="false">_xlfn.CEILING.MATH(B4*C4/64)</f>
        <v>223</v>
      </c>
      <c r="J134" s="0" t="n">
        <f aca="false">_xlfn.CEILING.MATH(B3*2/64)</f>
        <v>25</v>
      </c>
      <c r="K134" s="0" t="e">
        <f aca="false">M40</f>
        <v>#DIV/0!</v>
      </c>
      <c r="L134" s="0" t="n">
        <f aca="false">K17</f>
        <v>2482</v>
      </c>
      <c r="M134" s="0" t="s">
        <v>46</v>
      </c>
    </row>
    <row r="135" customFormat="false" ht="13.8" hidden="false" customHeight="false" outlineLevel="0" collapsed="false">
      <c r="C135" s="0" t="str">
        <f aca="false">C66</f>
        <v>5PKE_0d</v>
      </c>
      <c r="D135" s="0" t="n">
        <f aca="false">_xlfn.CEILING.MATH(F7*8/64)</f>
        <v>169</v>
      </c>
      <c r="E135" s="0" t="n">
        <v>24</v>
      </c>
      <c r="F135" s="0" t="n">
        <f aca="false">_xlfn.CEILING.MATH(B6*C6/1088)*24</f>
        <v>240</v>
      </c>
      <c r="G135" s="0" t="n">
        <f aca="false">_xlfn.CEILING.MATH(B5*2/1088)*24</f>
        <v>48</v>
      </c>
      <c r="H135" s="0" t="n">
        <f aca="false">_xlfn.CEILING.MATH(B5*C5/64)</f>
        <v>120</v>
      </c>
      <c r="J135" s="0" t="n">
        <f aca="false">_xlfn.CEILING.MATH(B4*2/64)</f>
        <v>32</v>
      </c>
      <c r="K135" s="0" t="e">
        <f aca="false">M41</f>
        <v>#DIV/0!</v>
      </c>
      <c r="L135" s="0" t="n">
        <f aca="false">K18</f>
        <v>3154</v>
      </c>
      <c r="M135" s="0" t="n">
        <f aca="false">E17+I17</f>
        <v>8</v>
      </c>
      <c r="P135" s="0" t="s">
        <v>47</v>
      </c>
    </row>
    <row r="136" customFormat="false" ht="13.8" hidden="false" customHeight="false" outlineLevel="0" collapsed="false">
      <c r="C136" s="0" t="str">
        <f aca="false">C67</f>
        <v>1KEM_5d</v>
      </c>
      <c r="D136" s="0" t="n">
        <f aca="false">_xlfn.CEILING.MATH(F8*8/64)</f>
        <v>56</v>
      </c>
      <c r="E136" s="0" t="n">
        <v>24</v>
      </c>
      <c r="F136" s="0" t="n">
        <f aca="false">_xlfn.CEILING.MATH(B7*C7/1088)*24</f>
        <v>336</v>
      </c>
      <c r="G136" s="0" t="n">
        <f aca="false">_xlfn.CEILING.MATH(B6*2/1088)*24</f>
        <v>48</v>
      </c>
      <c r="H136" s="0" t="n">
        <f aca="false">_xlfn.CEILING.MATH(B6*C6/64)</f>
        <v>160</v>
      </c>
      <c r="J136" s="0" t="n">
        <f aca="false">_xlfn.CEILING.MATH(B5*2/64)</f>
        <v>19</v>
      </c>
      <c r="K136" s="0" t="e">
        <f aca="false">M42</f>
        <v>#DIV/0!</v>
      </c>
      <c r="L136" s="0" t="n">
        <f aca="false">K19</f>
        <v>4082</v>
      </c>
      <c r="M136" s="0" t="n">
        <f aca="false">E18+I18</f>
        <v>12</v>
      </c>
      <c r="P136" s="0" t="n">
        <v>24</v>
      </c>
      <c r="Q136" s="0" t="s">
        <v>63</v>
      </c>
    </row>
    <row r="137" customFormat="false" ht="13.8" hidden="false" customHeight="false" outlineLevel="0" collapsed="false">
      <c r="C137" s="0" t="str">
        <f aca="false">C68</f>
        <v>3KEM_5d</v>
      </c>
      <c r="D137" s="0" t="n">
        <f aca="false">_xlfn.CEILING.MATH(F9*8/64)</f>
        <v>98</v>
      </c>
      <c r="E137" s="0" t="n">
        <v>24</v>
      </c>
      <c r="F137" s="0" t="n">
        <f aca="false">_xlfn.CEILING.MATH(B8*C8/1088)*24</f>
        <v>120</v>
      </c>
      <c r="G137" s="0" t="n">
        <f aca="false">_xlfn.CEILING.MATH(B7*2/1088)*24</f>
        <v>72</v>
      </c>
      <c r="H137" s="0" t="n">
        <f aca="false">_xlfn.CEILING.MATH(B7*C7/64)</f>
        <v>238</v>
      </c>
      <c r="J137" s="0" t="n">
        <f aca="false">_xlfn.CEILING.MATH(B6*2/64)</f>
        <v>27</v>
      </c>
      <c r="K137" s="0" t="e">
        <f aca="false">M43</f>
        <v>#DIV/0!</v>
      </c>
      <c r="L137" s="0" t="n">
        <f aca="false">K20</f>
        <v>2354</v>
      </c>
      <c r="M137" s="0" t="n">
        <f aca="false">E19+I19</f>
        <v>16</v>
      </c>
      <c r="P137" s="0" t="n">
        <v>24</v>
      </c>
      <c r="Q137" s="0" t="n">
        <f aca="false">M135+F17</f>
        <v>10</v>
      </c>
      <c r="R137" s="0" t="s">
        <v>64</v>
      </c>
    </row>
    <row r="138" customFormat="false" ht="13.8" hidden="false" customHeight="false" outlineLevel="0" collapsed="false">
      <c r="C138" s="0" t="str">
        <f aca="false">C69</f>
        <v>5KEM_5d</v>
      </c>
      <c r="D138" s="0" t="n">
        <f aca="false">_xlfn.CEILING.MATH(F10*8/64)</f>
        <v>122</v>
      </c>
      <c r="E138" s="0" t="n">
        <v>24</v>
      </c>
      <c r="F138" s="0" t="n">
        <f aca="false">_xlfn.CEILING.MATH(B9*C9/1088)*24</f>
        <v>216</v>
      </c>
      <c r="G138" s="0" t="n">
        <f aca="false">_xlfn.CEILING.MATH(B8*2/1088)*24</f>
        <v>24</v>
      </c>
      <c r="H138" s="0" t="n">
        <f aca="false">_xlfn.CEILING.MATH(B8*C8/64)</f>
        <v>77</v>
      </c>
      <c r="J138" s="0" t="n">
        <f aca="false">_xlfn.CEILING.MATH(B7*2/64)</f>
        <v>37</v>
      </c>
      <c r="K138" s="0" t="e">
        <f aca="false">M44</f>
        <v>#DIV/0!</v>
      </c>
      <c r="L138" s="0" t="n">
        <f aca="false">K21</f>
        <v>3418</v>
      </c>
      <c r="M138" s="0" t="n">
        <f aca="false">E20+I20</f>
        <v>8</v>
      </c>
      <c r="P138" s="0" t="n">
        <v>24</v>
      </c>
      <c r="Q138" s="0" t="n">
        <f aca="false">M136+F18</f>
        <v>15</v>
      </c>
      <c r="R138" s="0" t="n">
        <v>24</v>
      </c>
      <c r="S138" s="0" t="s">
        <v>65</v>
      </c>
      <c r="T138" s="26" t="s">
        <v>150</v>
      </c>
    </row>
    <row r="139" customFormat="false" ht="13.8" hidden="false" customHeight="false" outlineLevel="0" collapsed="false">
      <c r="C139" s="0" t="str">
        <f aca="false">C70</f>
        <v>1PKE_5d</v>
      </c>
      <c r="D139" s="0" t="n">
        <f aca="false">_xlfn.CEILING.MATH(F11*8/64)</f>
        <v>58</v>
      </c>
      <c r="E139" s="0" t="n">
        <v>24</v>
      </c>
      <c r="F139" s="0" t="n">
        <f aca="false">_xlfn.CEILING.MATH(B10*C10/1088)*24</f>
        <v>264</v>
      </c>
      <c r="G139" s="0" t="n">
        <f aca="false">_xlfn.CEILING.MATH(B9*2/1088)*24</f>
        <v>48</v>
      </c>
      <c r="H139" s="0" t="n">
        <f aca="false">_xlfn.CEILING.MATH(B9*C9/64)</f>
        <v>142</v>
      </c>
      <c r="J139" s="0" t="n">
        <f aca="false">_xlfn.CEILING.MATH(B8*2/64)</f>
        <v>16</v>
      </c>
      <c r="K139" s="0" t="e">
        <f aca="false">M45</f>
        <v>#DIV/0!</v>
      </c>
      <c r="L139" s="0" t="n">
        <f aca="false">K22</f>
        <v>4690</v>
      </c>
      <c r="M139" s="0" t="n">
        <f aca="false">E21+I21</f>
        <v>15</v>
      </c>
      <c r="P139" s="0" t="n">
        <v>24</v>
      </c>
      <c r="Q139" s="0" t="n">
        <f aca="false">M137+F19</f>
        <v>20</v>
      </c>
      <c r="R139" s="0" t="n">
        <v>24</v>
      </c>
      <c r="S139" s="0" t="n">
        <f aca="false">E17</f>
        <v>8</v>
      </c>
      <c r="T139" s="0" t="n">
        <f aca="false">S139+R138+Q137+P136+M135+L134+J133+H132+F131+D130</f>
        <v>2931</v>
      </c>
    </row>
    <row r="140" customFormat="false" ht="13.8" hidden="false" customHeight="false" outlineLevel="0" collapsed="false">
      <c r="C140" s="0" t="str">
        <f aca="false">C71</f>
        <v>3PKE_5d</v>
      </c>
      <c r="D140" s="0" t="n">
        <f aca="false">_xlfn.CEILING.MATH(F12*8/64)</f>
        <v>98</v>
      </c>
      <c r="E140" s="0" t="n">
        <v>24</v>
      </c>
      <c r="F140" s="0" t="n">
        <f aca="false">_xlfn.CEILING.MATH(B11*C11/1088)*24</f>
        <v>120</v>
      </c>
      <c r="G140" s="0" t="n">
        <f aca="false">_xlfn.CEILING.MATH(B10*2/1088)*24</f>
        <v>48</v>
      </c>
      <c r="H140" s="0" t="n">
        <f aca="false">_xlfn.CEILING.MATH(B10*C10/64)</f>
        <v>177</v>
      </c>
      <c r="J140" s="0" t="n">
        <f aca="false">_xlfn.CEILING.MATH(B9*2/64)</f>
        <v>24</v>
      </c>
      <c r="K140" s="0" t="n">
        <f aca="false">M46</f>
        <v>12</v>
      </c>
      <c r="L140" s="0" t="n">
        <f aca="false">K23</f>
        <v>1970</v>
      </c>
      <c r="M140" s="0" t="n">
        <f aca="false">E22+I22</f>
        <v>20</v>
      </c>
      <c r="P140" s="0" t="n">
        <v>24</v>
      </c>
      <c r="Q140" s="0" t="n">
        <f aca="false">M138+F20</f>
        <v>10</v>
      </c>
      <c r="R140" s="0" t="n">
        <v>24</v>
      </c>
      <c r="S140" s="0" t="n">
        <f aca="false">E18</f>
        <v>12</v>
      </c>
      <c r="T140" s="0" t="n">
        <f aca="false">S140+R139+Q138+P137+M136+L135+J134+H133+F132+D131</f>
        <v>3780</v>
      </c>
    </row>
    <row r="141" customFormat="false" ht="13.8" hidden="false" customHeight="false" outlineLevel="0" collapsed="false">
      <c r="C141" s="0" t="str">
        <f aca="false">C72</f>
        <v>5PKE_5d</v>
      </c>
      <c r="D141" s="0" t="n">
        <f aca="false">_xlfn.CEILING.MATH(F13*8/64)</f>
        <v>123</v>
      </c>
      <c r="E141" s="0" t="n">
        <v>24</v>
      </c>
      <c r="F141" s="0" t="n">
        <f aca="false">_xlfn.CEILING.MATH(B12*C12/1088)*24</f>
        <v>216</v>
      </c>
      <c r="G141" s="0" t="n">
        <f aca="false">_xlfn.CEILING.MATH(B11*2/1088)*24</f>
        <v>24</v>
      </c>
      <c r="H141" s="0" t="n">
        <f aca="false">_xlfn.CEILING.MATH(B11*C11/64)</f>
        <v>80</v>
      </c>
      <c r="J141" s="0" t="n">
        <f aca="false">_xlfn.CEILING.MATH(B10*2/64)</f>
        <v>30</v>
      </c>
      <c r="K141" s="0" t="n">
        <f aca="false">M47</f>
        <v>15</v>
      </c>
      <c r="L141" s="0" t="n">
        <f aca="false">K24</f>
        <v>3034</v>
      </c>
      <c r="M141" s="0" t="n">
        <f aca="false">E23+I23</f>
        <v>30</v>
      </c>
      <c r="P141" s="0" t="n">
        <v>24</v>
      </c>
      <c r="Q141" s="0" t="n">
        <f aca="false">M139+F21</f>
        <v>18</v>
      </c>
      <c r="R141" s="0" t="n">
        <v>24</v>
      </c>
      <c r="S141" s="0" t="n">
        <f aca="false">E19</f>
        <v>16</v>
      </c>
      <c r="T141" s="0" t="n">
        <f aca="false">S141+R140+Q139+P138+M137+L136+J135+H134+F133+D132</f>
        <v>4921</v>
      </c>
    </row>
    <row r="142" customFormat="false" ht="13.8" hidden="false" customHeight="false" outlineLevel="0" collapsed="false">
      <c r="E142" s="0" t="n">
        <v>24</v>
      </c>
      <c r="F142" s="0" t="n">
        <f aca="false">_xlfn.CEILING.MATH(B13*C13/1088)*24</f>
        <v>240</v>
      </c>
      <c r="G142" s="0" t="n">
        <f aca="false">_xlfn.CEILING.MATH(B12*2/1088)*24</f>
        <v>48</v>
      </c>
      <c r="H142" s="0" t="n">
        <f aca="false">_xlfn.CEILING.MATH(B12*C12/64)</f>
        <v>142</v>
      </c>
      <c r="J142" s="0" t="n">
        <f aca="false">_xlfn.CEILING.MATH(B11*2/64)</f>
        <v>16</v>
      </c>
      <c r="K142" s="0" t="n">
        <f aca="false">M48</f>
        <v>16</v>
      </c>
      <c r="L142" s="0" t="n">
        <f aca="false">K25</f>
        <v>3770</v>
      </c>
      <c r="M142" s="0" t="n">
        <f aca="false">E24+I24</f>
        <v>34</v>
      </c>
      <c r="P142" s="0" t="n">
        <v>24</v>
      </c>
      <c r="Q142" s="0" t="n">
        <f aca="false">M140+F22</f>
        <v>24</v>
      </c>
      <c r="R142" s="0" t="n">
        <v>24</v>
      </c>
      <c r="S142" s="0" t="n">
        <f aca="false">E20</f>
        <v>8</v>
      </c>
      <c r="T142" s="0" t="n">
        <f aca="false">S142+R141+Q140+P139+M138+L137+J136+H135+F134+D133</f>
        <v>2844</v>
      </c>
    </row>
    <row r="143" customFormat="false" ht="13.8" hidden="false" customHeight="false" outlineLevel="0" collapsed="false">
      <c r="G143" s="0" t="n">
        <f aca="false">_xlfn.CEILING.MATH(B13*2/1088)*24</f>
        <v>48</v>
      </c>
      <c r="H143" s="0" t="n">
        <f aca="false">_xlfn.CEILING.MATH(B13*C13/64)</f>
        <v>163</v>
      </c>
      <c r="J143" s="0" t="n">
        <f aca="false">_xlfn.CEILING.MATH(B12*2/64)</f>
        <v>24</v>
      </c>
      <c r="K143" s="0" t="n">
        <f aca="false">M49</f>
        <v>12</v>
      </c>
      <c r="L143" s="0" t="n">
        <f aca="false">K26</f>
        <v>2042</v>
      </c>
      <c r="M143" s="0" t="n">
        <f aca="false">E25+I25</f>
        <v>38</v>
      </c>
      <c r="P143" s="0" t="n">
        <v>24</v>
      </c>
      <c r="Q143" s="0" t="n">
        <f aca="false">M141+F23</f>
        <v>32</v>
      </c>
      <c r="R143" s="0" t="n">
        <v>24</v>
      </c>
      <c r="S143" s="0" t="n">
        <f aca="false">E21</f>
        <v>15</v>
      </c>
      <c r="T143" s="0" t="n">
        <f aca="false">S143+R142+Q141+P140+M139+L138+J137+H136+F135+D134</f>
        <v>4064</v>
      </c>
    </row>
    <row r="144" customFormat="false" ht="13.8" hidden="false" customHeight="false" outlineLevel="0" collapsed="false">
      <c r="J144" s="0" t="n">
        <f aca="false">_xlfn.CEILING.MATH(B13*2/64)</f>
        <v>30</v>
      </c>
      <c r="K144" s="0" t="n">
        <f aca="false">M50</f>
        <v>15</v>
      </c>
      <c r="L144" s="0" t="n">
        <f aca="false">K27</f>
        <v>3034</v>
      </c>
      <c r="M144" s="0" t="n">
        <f aca="false">E26+I26</f>
        <v>32</v>
      </c>
      <c r="P144" s="0" t="n">
        <v>24</v>
      </c>
      <c r="Q144" s="0" t="n">
        <f aca="false">M142+F24</f>
        <v>37</v>
      </c>
      <c r="R144" s="0" t="n">
        <v>24</v>
      </c>
      <c r="S144" s="0" t="n">
        <f aca="false">E22</f>
        <v>20</v>
      </c>
      <c r="T144" s="0" t="n">
        <f aca="false">S144+R143+Q142+P141+M140+L139+J138+H137+F136+D135</f>
        <v>5582</v>
      </c>
    </row>
    <row r="145" customFormat="false" ht="13.8" hidden="false" customHeight="false" outlineLevel="0" collapsed="false">
      <c r="K145" s="0" t="n">
        <f aca="false">M51</f>
        <v>16</v>
      </c>
      <c r="L145" s="0" t="n">
        <f aca="false">K28</f>
        <v>3794</v>
      </c>
      <c r="M145" s="0" t="n">
        <f aca="false">E27+I27</f>
        <v>37</v>
      </c>
      <c r="P145" s="0" t="n">
        <v>24</v>
      </c>
      <c r="Q145" s="0" t="n">
        <f aca="false">M143+F25</f>
        <v>42</v>
      </c>
      <c r="R145" s="0" t="n">
        <v>24</v>
      </c>
      <c r="S145" s="0" t="n">
        <f aca="false">E23</f>
        <v>6</v>
      </c>
      <c r="T145" s="0" t="n">
        <f aca="false">S145+R144+Q143+P142+M141+L140+J139+H138+F137+D136+K140</f>
        <v>2367</v>
      </c>
    </row>
    <row r="146" customFormat="false" ht="13.8" hidden="false" customHeight="false" outlineLevel="0" collapsed="false">
      <c r="M146" s="0" t="n">
        <f aca="false">E28+I28</f>
        <v>50</v>
      </c>
      <c r="P146" s="0" t="n">
        <v>24</v>
      </c>
      <c r="Q146" s="0" t="n">
        <f aca="false">M144+F26</f>
        <v>34</v>
      </c>
      <c r="R146" s="0" t="n">
        <v>24</v>
      </c>
      <c r="S146" s="0" t="n">
        <f aca="false">E24</f>
        <v>6</v>
      </c>
      <c r="T146" s="0" t="n">
        <f aca="false">S146+R145+Q144+P143+M142+L141+J140+H139+F138+D137+K141</f>
        <v>3654</v>
      </c>
    </row>
    <row r="147" customFormat="false" ht="13.8" hidden="false" customHeight="false" outlineLevel="0" collapsed="false">
      <c r="P147" s="0" t="n">
        <v>24</v>
      </c>
      <c r="Q147" s="0" t="n">
        <f aca="false">M145+F27</f>
        <v>40</v>
      </c>
      <c r="R147" s="0" t="n">
        <v>24</v>
      </c>
      <c r="S147" s="0" t="n">
        <f aca="false">E25</f>
        <v>8</v>
      </c>
      <c r="T147" s="0" t="n">
        <f aca="false">S147+R146+Q145+P144+M143+L142+J141+H140+F139+D138+K142</f>
        <v>4515</v>
      </c>
    </row>
    <row r="148" customFormat="false" ht="13.8" hidden="false" customHeight="false" outlineLevel="0" collapsed="false">
      <c r="Q148" s="0" t="n">
        <f aca="false">M146+F28</f>
        <v>54</v>
      </c>
      <c r="R148" s="0" t="n">
        <v>24</v>
      </c>
      <c r="S148" s="0" t="n">
        <f aca="false">E26</f>
        <v>8</v>
      </c>
      <c r="T148" s="0" t="n">
        <f aca="false">S148+R147+Q146+P145+M144+L143+J142+H141+F140+D139+K143</f>
        <v>2450</v>
      </c>
    </row>
    <row r="149" customFormat="false" ht="13.8" hidden="false" customHeight="false" outlineLevel="0" collapsed="false">
      <c r="R149" s="0" t="n">
        <v>24</v>
      </c>
      <c r="S149" s="0" t="n">
        <f aca="false">E27</f>
        <v>9</v>
      </c>
      <c r="T149" s="0" t="n">
        <f aca="false">S149+R148+Q147+P146+M145+L144+J143+H142+F141+D140+K144</f>
        <v>3663</v>
      </c>
    </row>
    <row r="150" customFormat="false" ht="13.8" hidden="false" customHeight="false" outlineLevel="0" collapsed="false">
      <c r="S150" s="0" t="n">
        <f aca="false">E28</f>
        <v>20</v>
      </c>
      <c r="T150" s="0" t="n">
        <f aca="false">S150+R149+Q148+P147+M146+L145+J144+H143+F142+D141+K145</f>
        <v>4538</v>
      </c>
    </row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>
      <c r="D153" s="0" t="s">
        <v>160</v>
      </c>
    </row>
    <row r="154" customFormat="false" ht="13.8" hidden="false" customHeight="false" outlineLevel="0" collapsed="false"/>
    <row r="155" customFormat="false" ht="13.8" hidden="false" customHeight="false" outlineLevel="0" collapsed="false">
      <c r="D155" s="0" t="s">
        <v>161</v>
      </c>
    </row>
    <row r="156" customFormat="false" ht="13.8" hidden="false" customHeight="false" outlineLevel="0" collapsed="false">
      <c r="C156" s="0" t="str">
        <f aca="false">C130</f>
        <v>1KEM_0d</v>
      </c>
      <c r="D156" s="0" t="n">
        <f aca="false">_xlfn.CEILING.MATH(G2*8/64)</f>
        <v>2</v>
      </c>
      <c r="E156" s="0" t="s">
        <v>162</v>
      </c>
    </row>
    <row r="157" customFormat="false" ht="13.8" hidden="false" customHeight="false" outlineLevel="0" collapsed="false">
      <c r="C157" s="0" t="str">
        <f aca="false">C131</f>
        <v>3KEM_0d</v>
      </c>
      <c r="D157" s="0" t="n">
        <f aca="false">_xlfn.CEILING.MATH(G3*8/64)</f>
        <v>3</v>
      </c>
      <c r="E157" s="0" t="n">
        <f aca="false">_xlfn.CEILING.MATH(I2*8/64)</f>
        <v>2</v>
      </c>
      <c r="F157" s="0" t="s">
        <v>55</v>
      </c>
    </row>
    <row r="158" customFormat="false" ht="13.8" hidden="false" customHeight="false" outlineLevel="0" collapsed="false">
      <c r="C158" s="0" t="str">
        <f aca="false">C132</f>
        <v>5KEM_0d</v>
      </c>
      <c r="D158" s="0" t="n">
        <f aca="false">_xlfn.CEILING.MATH(G4*8/64)</f>
        <v>4</v>
      </c>
      <c r="E158" s="0" t="n">
        <f aca="false">_xlfn.CEILING.MATH(I3*8/64)</f>
        <v>3</v>
      </c>
      <c r="F158" s="0" t="n">
        <f aca="false">L17</f>
        <v>1243</v>
      </c>
      <c r="G158" s="0" t="s">
        <v>163</v>
      </c>
      <c r="H158" s="0" t="s">
        <v>164</v>
      </c>
      <c r="J158" s="27" t="s">
        <v>165</v>
      </c>
    </row>
    <row r="159" customFormat="false" ht="13.8" hidden="false" customHeight="false" outlineLevel="0" collapsed="false">
      <c r="C159" s="0" t="str">
        <f aca="false">C133</f>
        <v>1PKE_0d</v>
      </c>
      <c r="D159" s="0" t="n">
        <f aca="false">_xlfn.CEILING.MATH(G5*8/64)</f>
        <v>89</v>
      </c>
      <c r="E159" s="0" t="n">
        <f aca="false">_xlfn.CEILING.MATH(I4*8/64)</f>
        <v>4</v>
      </c>
      <c r="F159" s="0" t="n">
        <f aca="false">L18</f>
        <v>1579</v>
      </c>
      <c r="G159" s="0" t="e">
        <f aca="false">I64</f>
        <v>#DIV/0!</v>
      </c>
      <c r="H159" s="0" t="n">
        <f aca="false">I17+E17</f>
        <v>8</v>
      </c>
      <c r="I159" s="0" t="s">
        <v>47</v>
      </c>
      <c r="J159" s="0" t="s">
        <v>156</v>
      </c>
    </row>
    <row r="160" customFormat="false" ht="13.8" hidden="false" customHeight="false" outlineLevel="0" collapsed="false">
      <c r="C160" s="0" t="str">
        <f aca="false">C134</f>
        <v>3PKE_0d</v>
      </c>
      <c r="D160" s="0" t="n">
        <f aca="false">_xlfn.CEILING.MATH(G6*8/64)</f>
        <v>129</v>
      </c>
      <c r="E160" s="0" t="n">
        <f aca="false">_xlfn.CEILING.MATH(I5*8/64)</f>
        <v>95</v>
      </c>
      <c r="F160" s="0" t="n">
        <f aca="false">L19</f>
        <v>2043</v>
      </c>
      <c r="G160" s="0" t="e">
        <f aca="false">I65</f>
        <v>#DIV/0!</v>
      </c>
      <c r="H160" s="0" t="n">
        <f aca="false">I18+E18</f>
        <v>12</v>
      </c>
      <c r="I160" s="0" t="n">
        <v>24</v>
      </c>
      <c r="J160" s="0" t="n">
        <v>0</v>
      </c>
      <c r="K160" s="0" t="s">
        <v>60</v>
      </c>
      <c r="L160" s="0" t="s">
        <v>61</v>
      </c>
    </row>
    <row r="161" customFormat="false" ht="13.8" hidden="false" customHeight="false" outlineLevel="0" collapsed="false">
      <c r="C161" s="0" t="str">
        <f aca="false">C135</f>
        <v>5PKE_0d</v>
      </c>
      <c r="D161" s="0" t="n">
        <f aca="false">_xlfn.CEILING.MATH(G7*8/64)</f>
        <v>177</v>
      </c>
      <c r="E161" s="0" t="n">
        <f aca="false">_xlfn.CEILING.MATH(I6*8/64)</f>
        <v>140</v>
      </c>
      <c r="F161" s="0" t="n">
        <f aca="false">L20</f>
        <v>1179</v>
      </c>
      <c r="G161" s="0" t="e">
        <f aca="false">I66</f>
        <v>#DIV/0!</v>
      </c>
      <c r="H161" s="0" t="n">
        <f aca="false">I19+E19</f>
        <v>16</v>
      </c>
      <c r="I161" s="0" t="n">
        <v>24</v>
      </c>
      <c r="J161" s="0" t="n">
        <v>0</v>
      </c>
      <c r="K161" s="0" t="n">
        <f aca="false">_xlfn.CEILING.MATH(B2*C2/1088)*24</f>
        <v>168</v>
      </c>
      <c r="L161" s="0" t="n">
        <f aca="false">_xlfn.CEILING.MATH(B2*2/64)</f>
        <v>20</v>
      </c>
      <c r="M161" s="0" t="s">
        <v>166</v>
      </c>
    </row>
    <row r="162" customFormat="false" ht="13.8" hidden="false" customHeight="false" outlineLevel="0" collapsed="false">
      <c r="C162" s="0" t="str">
        <f aca="false">C136</f>
        <v>1KEM_5d</v>
      </c>
      <c r="D162" s="0" t="n">
        <f aca="false">_xlfn.CEILING.MATH(G8*8/64)</f>
        <v>2</v>
      </c>
      <c r="E162" s="0" t="n">
        <f aca="false">_xlfn.CEILING.MATH(I7*8/64)</f>
        <v>191</v>
      </c>
      <c r="F162" s="0" t="n">
        <f aca="false">L21</f>
        <v>1711</v>
      </c>
      <c r="G162" s="0" t="e">
        <f aca="false">I67</f>
        <v>#DIV/0!</v>
      </c>
      <c r="H162" s="0" t="n">
        <f aca="false">I20+E20</f>
        <v>8</v>
      </c>
      <c r="I162" s="0" t="n">
        <v>24</v>
      </c>
      <c r="J162" s="0" t="n">
        <v>0</v>
      </c>
      <c r="K162" s="0" t="n">
        <f aca="false">_xlfn.CEILING.MATH(B3*C3/1088)*24</f>
        <v>240</v>
      </c>
      <c r="L162" s="0" t="n">
        <f aca="false">_xlfn.CEILING.MATH(B3*2/64)</f>
        <v>25</v>
      </c>
      <c r="M162" s="0" t="n">
        <f aca="false">L161</f>
        <v>20</v>
      </c>
      <c r="N162" s="0" t="s">
        <v>45</v>
      </c>
    </row>
    <row r="163" customFormat="false" ht="13.8" hidden="false" customHeight="false" outlineLevel="0" collapsed="false">
      <c r="C163" s="0" t="str">
        <f aca="false">C137</f>
        <v>3KEM_5d</v>
      </c>
      <c r="D163" s="0" t="n">
        <f aca="false">_xlfn.CEILING.MATH(G9*8/64)</f>
        <v>3</v>
      </c>
      <c r="E163" s="0" t="n">
        <f aca="false">_xlfn.CEILING.MATH(I8*8/64)</f>
        <v>2</v>
      </c>
      <c r="F163" s="0" t="n">
        <f aca="false">L22</f>
        <v>2347</v>
      </c>
      <c r="G163" s="0" t="e">
        <f aca="false">I68</f>
        <v>#DIV/0!</v>
      </c>
      <c r="H163" s="0" t="n">
        <f aca="false">I21+E21</f>
        <v>15</v>
      </c>
      <c r="I163" s="0" t="n">
        <v>24</v>
      </c>
      <c r="J163" s="0" t="n">
        <v>0</v>
      </c>
      <c r="K163" s="0" t="n">
        <f aca="false">_xlfn.CEILING.MATH(B4*C4/1088)*24</f>
        <v>336</v>
      </c>
      <c r="L163" s="0" t="n">
        <f aca="false">_xlfn.CEILING.MATH(B4*2/64)</f>
        <v>32</v>
      </c>
      <c r="M163" s="0" t="n">
        <f aca="false">L162</f>
        <v>25</v>
      </c>
      <c r="N163" s="0" t="n">
        <f aca="false">K17</f>
        <v>2482</v>
      </c>
      <c r="O163" s="0" t="s">
        <v>47</v>
      </c>
    </row>
    <row r="164" customFormat="false" ht="13.8" hidden="false" customHeight="false" outlineLevel="0" collapsed="false">
      <c r="C164" s="0" t="str">
        <f aca="false">C138</f>
        <v>5KEM_5d</v>
      </c>
      <c r="D164" s="0" t="n">
        <f aca="false">_xlfn.CEILING.MATH(G10*8/64)</f>
        <v>4</v>
      </c>
      <c r="E164" s="0" t="n">
        <f aca="false">_xlfn.CEILING.MATH(I9*8/64)</f>
        <v>3</v>
      </c>
      <c r="F164" s="0" t="n">
        <f aca="false">L23</f>
        <v>987</v>
      </c>
      <c r="G164" s="0" t="e">
        <f aca="false">I69</f>
        <v>#DIV/0!</v>
      </c>
      <c r="H164" s="0" t="n">
        <f aca="false">I22+E22</f>
        <v>20</v>
      </c>
      <c r="I164" s="0" t="n">
        <v>24</v>
      </c>
      <c r="J164" s="0" t="n">
        <v>0</v>
      </c>
      <c r="K164" s="0" t="n">
        <f aca="false">_xlfn.CEILING.MATH(B5*C5/1088)*24</f>
        <v>192</v>
      </c>
      <c r="L164" s="0" t="n">
        <f aca="false">_xlfn.CEILING.MATH(B5*2/64)</f>
        <v>19</v>
      </c>
      <c r="M164" s="0" t="n">
        <f aca="false">L163</f>
        <v>32</v>
      </c>
      <c r="N164" s="0" t="n">
        <f aca="false">K18</f>
        <v>3154</v>
      </c>
      <c r="O164" s="0" t="n">
        <v>24</v>
      </c>
      <c r="P164" s="0" t="s">
        <v>167</v>
      </c>
    </row>
    <row r="165" customFormat="false" ht="13.8" hidden="false" customHeight="false" outlineLevel="0" collapsed="false">
      <c r="C165" s="0" t="str">
        <f aca="false">C139</f>
        <v>1PKE_5d</v>
      </c>
      <c r="D165" s="0" t="n">
        <f aca="false">_xlfn.CEILING.MATH(G11*8/64)</f>
        <v>62</v>
      </c>
      <c r="E165" s="0" t="n">
        <f aca="false">_xlfn.CEILING.MATH(I10*8/64)</f>
        <v>4</v>
      </c>
      <c r="F165" s="0" t="n">
        <f aca="false">L24</f>
        <v>1519</v>
      </c>
      <c r="G165" s="0" t="n">
        <f aca="false">I70</f>
        <v>24</v>
      </c>
      <c r="H165" s="0" t="n">
        <f aca="false">I23+E23</f>
        <v>30</v>
      </c>
      <c r="I165" s="0" t="n">
        <v>24</v>
      </c>
      <c r="J165" s="0" t="n">
        <v>0</v>
      </c>
      <c r="K165" s="0" t="n">
        <f aca="false">_xlfn.CEILING.MATH(B6*C6/1088)*24</f>
        <v>240</v>
      </c>
      <c r="L165" s="0" t="n">
        <f aca="false">_xlfn.CEILING.MATH(B6*2/64)</f>
        <v>27</v>
      </c>
      <c r="M165" s="0" t="n">
        <f aca="false">L164</f>
        <v>19</v>
      </c>
      <c r="N165" s="0" t="n">
        <f aca="false">K19</f>
        <v>4082</v>
      </c>
      <c r="O165" s="0" t="n">
        <v>24</v>
      </c>
      <c r="P165" s="0" t="n">
        <v>24</v>
      </c>
      <c r="Q165" s="0" t="s">
        <v>168</v>
      </c>
      <c r="R165" s="26" t="s">
        <v>150</v>
      </c>
    </row>
    <row r="166" customFormat="false" ht="13.8" hidden="false" customHeight="false" outlineLevel="0" collapsed="false">
      <c r="C166" s="0" t="str">
        <f aca="false">C140</f>
        <v>3PKE_5d</v>
      </c>
      <c r="D166" s="0" t="n">
        <f aca="false">_xlfn.CEILING.MATH(G12*8/64)</f>
        <v>104</v>
      </c>
      <c r="E166" s="0" t="n">
        <f aca="false">_xlfn.CEILING.MATH(I11*8/64)</f>
        <v>79</v>
      </c>
      <c r="F166" s="0" t="n">
        <f aca="false">L25</f>
        <v>1887</v>
      </c>
      <c r="G166" s="0" t="n">
        <f aca="false">I71</f>
        <v>30</v>
      </c>
      <c r="H166" s="0" t="n">
        <f aca="false">I24+E24</f>
        <v>34</v>
      </c>
      <c r="I166" s="0" t="n">
        <v>24</v>
      </c>
      <c r="J166" s="0" t="n">
        <v>0</v>
      </c>
      <c r="K166" s="0" t="n">
        <f aca="false">_xlfn.CEILING.MATH(B7*C7/1088)*24</f>
        <v>336</v>
      </c>
      <c r="L166" s="0" t="n">
        <f aca="false">_xlfn.CEILING.MATH(B7*2/64)</f>
        <v>37</v>
      </c>
      <c r="M166" s="0" t="n">
        <f aca="false">L165</f>
        <v>27</v>
      </c>
      <c r="N166" s="0" t="n">
        <f aca="false">K20</f>
        <v>2354</v>
      </c>
      <c r="O166" s="0" t="n">
        <v>24</v>
      </c>
      <c r="P166" s="0" t="n">
        <v>24</v>
      </c>
      <c r="Q166" s="0" t="n">
        <f aca="false">J2*8/64</f>
        <v>2</v>
      </c>
      <c r="R166" s="0" t="n">
        <f aca="false">Q166+P165+O164+N163+M162+K161+J160+H159+F158+E157+D156</f>
        <v>3975</v>
      </c>
    </row>
    <row r="167" customFormat="false" ht="13.8" hidden="false" customHeight="false" outlineLevel="0" collapsed="false">
      <c r="C167" s="0" t="str">
        <f aca="false">C141</f>
        <v>5PKE_5d</v>
      </c>
      <c r="D167" s="0" t="n">
        <f aca="false">_xlfn.CEILING.MATH(G13*8/64)</f>
        <v>131</v>
      </c>
      <c r="E167" s="0" t="n">
        <f aca="false">_xlfn.CEILING.MATH(I12*8/64)</f>
        <v>119</v>
      </c>
      <c r="F167" s="0" t="n">
        <f aca="false">L26</f>
        <v>1023</v>
      </c>
      <c r="G167" s="0" t="n">
        <f aca="false">I72</f>
        <v>32</v>
      </c>
      <c r="H167" s="0" t="n">
        <f aca="false">I25+E25</f>
        <v>38</v>
      </c>
      <c r="I167" s="0" t="n">
        <v>24</v>
      </c>
      <c r="J167" s="0" t="n">
        <v>0</v>
      </c>
      <c r="K167" s="0" t="n">
        <f aca="false">_xlfn.CEILING.MATH(B8*C8/1088)*24</f>
        <v>120</v>
      </c>
      <c r="L167" s="0" t="n">
        <f aca="false">_xlfn.CEILING.MATH(B8*2/64)</f>
        <v>16</v>
      </c>
      <c r="M167" s="0" t="n">
        <f aca="false">L166</f>
        <v>37</v>
      </c>
      <c r="N167" s="0" t="n">
        <f aca="false">K21</f>
        <v>3418</v>
      </c>
      <c r="O167" s="0" t="n">
        <v>24</v>
      </c>
      <c r="P167" s="0" t="n">
        <v>24</v>
      </c>
      <c r="Q167" s="0" t="n">
        <f aca="false">J3*8/64</f>
        <v>3</v>
      </c>
      <c r="R167" s="0" t="n">
        <f aca="false">Q167+P166+O165+N164+M163+K162+J161+H160+F159+E158+D157</f>
        <v>5067</v>
      </c>
    </row>
    <row r="168" customFormat="false" ht="13.8" hidden="false" customHeight="false" outlineLevel="0" collapsed="false">
      <c r="E168" s="0" t="n">
        <f aca="false">_xlfn.CEILING.MATH(I13*8/64)</f>
        <v>163</v>
      </c>
      <c r="F168" s="0" t="n">
        <f aca="false">L27</f>
        <v>1519</v>
      </c>
      <c r="G168" s="0" t="n">
        <f aca="false">I73</f>
        <v>24</v>
      </c>
      <c r="H168" s="0" t="n">
        <f aca="false">I26+E26</f>
        <v>32</v>
      </c>
      <c r="I168" s="0" t="n">
        <v>24</v>
      </c>
      <c r="J168" s="0" t="n">
        <v>0</v>
      </c>
      <c r="K168" s="0" t="n">
        <f aca="false">_xlfn.CEILING.MATH(B9*C9/1088)*24</f>
        <v>216</v>
      </c>
      <c r="L168" s="0" t="n">
        <f aca="false">_xlfn.CEILING.MATH(B9*2/64)</f>
        <v>24</v>
      </c>
      <c r="M168" s="0" t="n">
        <f aca="false">L167</f>
        <v>16</v>
      </c>
      <c r="N168" s="0" t="n">
        <f aca="false">K22</f>
        <v>4690</v>
      </c>
      <c r="O168" s="0" t="n">
        <v>24</v>
      </c>
      <c r="P168" s="0" t="n">
        <v>24</v>
      </c>
      <c r="Q168" s="0" t="n">
        <f aca="false">J4*8/64</f>
        <v>4</v>
      </c>
      <c r="R168" s="0" t="n">
        <f aca="false">Q168+P167+O166+N165+M164+K163+J162+H161+F160+E159+D158</f>
        <v>6569</v>
      </c>
    </row>
    <row r="169" customFormat="false" ht="13.8" hidden="false" customHeight="false" outlineLevel="0" collapsed="false">
      <c r="F169" s="0" t="n">
        <f aca="false">L28</f>
        <v>1899</v>
      </c>
      <c r="G169" s="0" t="n">
        <f aca="false">I74</f>
        <v>30</v>
      </c>
      <c r="H169" s="0" t="n">
        <f aca="false">I27+E27</f>
        <v>37</v>
      </c>
      <c r="I169" s="0" t="n">
        <v>24</v>
      </c>
      <c r="J169" s="0" t="n">
        <v>0</v>
      </c>
      <c r="K169" s="0" t="n">
        <f aca="false">_xlfn.CEILING.MATH(B10*C10/1088)*24</f>
        <v>264</v>
      </c>
      <c r="L169" s="0" t="n">
        <f aca="false">_xlfn.CEILING.MATH(B10*2/64)</f>
        <v>30</v>
      </c>
      <c r="M169" s="0" t="n">
        <f aca="false">L168</f>
        <v>24</v>
      </c>
      <c r="N169" s="0" t="n">
        <f aca="false">K23</f>
        <v>1970</v>
      </c>
      <c r="O169" s="0" t="n">
        <v>24</v>
      </c>
      <c r="P169" s="0" t="n">
        <v>24</v>
      </c>
      <c r="Q169" s="0" t="n">
        <f aca="false">J5*8/64</f>
        <v>2</v>
      </c>
      <c r="R169" s="0" t="n">
        <f aca="false">Q169+P168+O167+N166+M165+K164+J163+H162+F161+E160+D159</f>
        <v>3986</v>
      </c>
    </row>
    <row r="170" customFormat="false" ht="13.8" hidden="false" customHeight="false" outlineLevel="0" collapsed="false">
      <c r="G170" s="0" t="n">
        <f aca="false">I75</f>
        <v>32</v>
      </c>
      <c r="H170" s="0" t="n">
        <f aca="false">I28+E28</f>
        <v>50</v>
      </c>
      <c r="I170" s="0" t="n">
        <v>24</v>
      </c>
      <c r="J170" s="0" t="n">
        <v>0</v>
      </c>
      <c r="K170" s="0" t="n">
        <f aca="false">_xlfn.CEILING.MATH(B11*C11/1088)*24</f>
        <v>120</v>
      </c>
      <c r="L170" s="0" t="n">
        <f aca="false">_xlfn.CEILING.MATH(B11*2/64)</f>
        <v>16</v>
      </c>
      <c r="M170" s="0" t="n">
        <f aca="false">L169</f>
        <v>30</v>
      </c>
      <c r="N170" s="0" t="n">
        <f aca="false">K24</f>
        <v>3034</v>
      </c>
      <c r="O170" s="0" t="n">
        <v>24</v>
      </c>
      <c r="P170" s="0" t="n">
        <v>24</v>
      </c>
      <c r="Q170" s="0" t="n">
        <f aca="false">J6*8/64</f>
        <v>3</v>
      </c>
      <c r="R170" s="0" t="n">
        <f aca="false">Q170+P169+O168+N167+M166+K165+J164+H163+F162+E161+D160</f>
        <v>5731</v>
      </c>
    </row>
    <row r="171" customFormat="false" ht="13.8" hidden="false" customHeight="false" outlineLevel="0" collapsed="false">
      <c r="I171" s="0" t="n">
        <v>24</v>
      </c>
      <c r="J171" s="0" t="n">
        <v>0</v>
      </c>
      <c r="K171" s="0" t="n">
        <f aca="false">_xlfn.CEILING.MATH(B12*C12/1088)*24</f>
        <v>216</v>
      </c>
      <c r="L171" s="0" t="n">
        <f aca="false">_xlfn.CEILING.MATH(B12*2/64)</f>
        <v>24</v>
      </c>
      <c r="M171" s="0" t="n">
        <f aca="false">L170</f>
        <v>16</v>
      </c>
      <c r="N171" s="0" t="n">
        <f aca="false">K25</f>
        <v>3770</v>
      </c>
      <c r="O171" s="0" t="n">
        <v>24</v>
      </c>
      <c r="P171" s="0" t="n">
        <v>24</v>
      </c>
      <c r="Q171" s="0" t="n">
        <f aca="false">J7*8/64</f>
        <v>4</v>
      </c>
      <c r="R171" s="0" t="n">
        <f aca="false">Q171+P170+O169+N168+M167+K166+J165+H164+F163+E162+D161</f>
        <v>7850</v>
      </c>
    </row>
    <row r="172" customFormat="false" ht="13.8" hidden="false" customHeight="false" outlineLevel="0" collapsed="false">
      <c r="K172" s="0" t="n">
        <f aca="false">_xlfn.CEILING.MATH(B13*C13/1088)*24</f>
        <v>240</v>
      </c>
      <c r="L172" s="0" t="n">
        <f aca="false">_xlfn.CEILING.MATH(B13*2/64)</f>
        <v>30</v>
      </c>
      <c r="M172" s="0" t="n">
        <f aca="false">L171</f>
        <v>24</v>
      </c>
      <c r="N172" s="0" t="n">
        <f aca="false">K26</f>
        <v>2042</v>
      </c>
      <c r="O172" s="0" t="n">
        <v>24</v>
      </c>
      <c r="P172" s="0" t="n">
        <v>24</v>
      </c>
      <c r="Q172" s="0" t="n">
        <f aca="false">J8*8/64</f>
        <v>2</v>
      </c>
      <c r="R172" s="0" t="n">
        <f aca="false">Q172+P171+O170+N169+M168+K167+J166+H165+F164+E163+D162+G165</f>
        <v>3201</v>
      </c>
    </row>
    <row r="173" customFormat="false" ht="13.8" hidden="false" customHeight="false" outlineLevel="0" collapsed="false">
      <c r="M173" s="0" t="n">
        <f aca="false">L172</f>
        <v>30</v>
      </c>
      <c r="N173" s="0" t="n">
        <f aca="false">K27</f>
        <v>3034</v>
      </c>
      <c r="O173" s="0" t="n">
        <v>24</v>
      </c>
      <c r="P173" s="0" t="n">
        <v>24</v>
      </c>
      <c r="Q173" s="0" t="n">
        <f aca="false">J9*8/64</f>
        <v>3</v>
      </c>
      <c r="R173" s="0" t="n">
        <f aca="false">Q173+P172+O171+N170+M169+K168+J167+H166+F165+E164+D163+G166</f>
        <v>4914</v>
      </c>
    </row>
    <row r="174" customFormat="false" ht="13.8" hidden="false" customHeight="false" outlineLevel="0" collapsed="false">
      <c r="N174" s="0" t="n">
        <f aca="false">K28</f>
        <v>3794</v>
      </c>
      <c r="O174" s="0" t="n">
        <v>24</v>
      </c>
      <c r="P174" s="0" t="n">
        <v>24</v>
      </c>
      <c r="Q174" s="0" t="n">
        <f aca="false">J10*8/64</f>
        <v>4</v>
      </c>
      <c r="R174" s="0" t="n">
        <f aca="false">Q174+P173+O172+N171+M170+K169+J168+H167+F166+E165+D164+G167</f>
        <v>6081</v>
      </c>
    </row>
    <row r="175" customFormat="false" ht="13.8" hidden="false" customHeight="false" outlineLevel="0" collapsed="false">
      <c r="O175" s="0" t="n">
        <v>24</v>
      </c>
      <c r="P175" s="0" t="n">
        <v>24</v>
      </c>
      <c r="Q175" s="0" t="n">
        <f aca="false">J11*8/64</f>
        <v>2</v>
      </c>
      <c r="R175" s="0" t="n">
        <f aca="false">Q175+P174+O173+N172+M171+K170+J169+H168+F167+E166+D165+G168</f>
        <v>3448</v>
      </c>
    </row>
    <row r="176" customFormat="false" ht="13.8" hidden="false" customHeight="false" outlineLevel="0" collapsed="false">
      <c r="P176" s="0" t="n">
        <v>24</v>
      </c>
      <c r="Q176" s="0" t="n">
        <f aca="false">J12*8/64</f>
        <v>3</v>
      </c>
      <c r="R176" s="0" t="n">
        <f aca="false">Q176+P175+O174+N173+M172+K171+J170+H169+F168+E167+D166+G169</f>
        <v>5134</v>
      </c>
    </row>
    <row r="177" customFormat="false" ht="13.8" hidden="false" customHeight="false" outlineLevel="0" collapsed="false">
      <c r="Q177" s="0" t="n">
        <f aca="false">J13*8/64</f>
        <v>4</v>
      </c>
      <c r="R177" s="0" t="n">
        <f aca="false">Q177+P176+O175+N174+M173+K172+J171+H170+F169+E168+D167+G170</f>
        <v>6391</v>
      </c>
    </row>
    <row r="17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2019-04-20T12:41:38Z</dcterms:created>
  <dc:creator>ma</dc:creator>
  <dc:description/>
  <dc:language>pl-PL</dc:language>
  <cp:lastModifiedBy/>
  <dcterms:modified xsi:type="dcterms:W3CDTF">2020-05-28T02:34:58Z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