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epo\Round5_VHDL\Round5_full_hw\"/>
    </mc:Choice>
  </mc:AlternateContent>
  <bookViews>
    <workbookView xWindow="0" yWindow="0" windowWidth="16380" windowHeight="8190" tabRatio="500" firstSheet="1" activeTab="4"/>
  </bookViews>
  <sheets>
    <sheet name="Cycle_estimation" sheetId="1" r:id="rId1"/>
    <sheet name="Results" sheetId="2" r:id="rId2"/>
    <sheet name="Cycle_estimation_with_XEf" sheetId="3" r:id="rId3"/>
    <sheet name="Tex_table_comparison" sheetId="4" r:id="rId4"/>
    <sheet name="TEX_compare_all_HP_designs" sheetId="7" r:id="rId5"/>
    <sheet name="Tex_table_KEM_HP_Intel" sheetId="5" r:id="rId6"/>
    <sheet name="Tex_table_PKE_HP_Intel" sheetId="6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" i="7" l="1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" i="7"/>
  <c r="L51" i="7"/>
  <c r="L50" i="7"/>
  <c r="L32" i="7"/>
  <c r="L31" i="7"/>
  <c r="L13" i="7"/>
  <c r="L12" i="7"/>
  <c r="E50" i="7"/>
  <c r="E12" i="7"/>
  <c r="E112" i="7"/>
  <c r="H112" i="7" s="1"/>
  <c r="G112" i="7" s="1"/>
  <c r="C112" i="7"/>
  <c r="E111" i="7"/>
  <c r="C111" i="7"/>
  <c r="E110" i="7"/>
  <c r="H110" i="7" s="1"/>
  <c r="G110" i="7" s="1"/>
  <c r="C110" i="7"/>
  <c r="E109" i="7"/>
  <c r="C109" i="7"/>
  <c r="H106" i="7"/>
  <c r="G106" i="7" s="1"/>
  <c r="H105" i="7"/>
  <c r="G105" i="7" s="1"/>
  <c r="H104" i="7"/>
  <c r="G104" i="7" s="1"/>
  <c r="H103" i="7"/>
  <c r="G103" i="7" s="1"/>
  <c r="E102" i="7"/>
  <c r="E114" i="7" s="1"/>
  <c r="C102" i="7"/>
  <c r="C114" i="7" s="1"/>
  <c r="E101" i="7"/>
  <c r="C101" i="7"/>
  <c r="C113" i="7" s="1"/>
  <c r="H100" i="7"/>
  <c r="G100" i="7" s="1"/>
  <c r="H99" i="7"/>
  <c r="G99" i="7" s="1"/>
  <c r="H98" i="7"/>
  <c r="G98" i="7"/>
  <c r="H97" i="7"/>
  <c r="G97" i="7" s="1"/>
  <c r="E96" i="7"/>
  <c r="C96" i="7"/>
  <c r="E93" i="7"/>
  <c r="C93" i="7"/>
  <c r="E92" i="7"/>
  <c r="C92" i="7"/>
  <c r="E91" i="7"/>
  <c r="C91" i="7"/>
  <c r="E90" i="7"/>
  <c r="C90" i="7"/>
  <c r="H87" i="7"/>
  <c r="G87" i="7" s="1"/>
  <c r="H86" i="7"/>
  <c r="G86" i="7" s="1"/>
  <c r="H85" i="7"/>
  <c r="G85" i="7"/>
  <c r="H84" i="7"/>
  <c r="G84" i="7" s="1"/>
  <c r="E83" i="7"/>
  <c r="C83" i="7"/>
  <c r="C89" i="7" s="1"/>
  <c r="H89" i="7" s="1"/>
  <c r="G89" i="7" s="1"/>
  <c r="E82" i="7"/>
  <c r="E94" i="7" s="1"/>
  <c r="C82" i="7"/>
  <c r="H81" i="7"/>
  <c r="G81" i="7" s="1"/>
  <c r="H80" i="7"/>
  <c r="G80" i="7"/>
  <c r="H79" i="7"/>
  <c r="G79" i="7" s="1"/>
  <c r="H78" i="7"/>
  <c r="G78" i="7" s="1"/>
  <c r="E77" i="7"/>
  <c r="C77" i="7"/>
  <c r="E74" i="7"/>
  <c r="C74" i="7"/>
  <c r="E73" i="7"/>
  <c r="H73" i="7" s="1"/>
  <c r="G73" i="7" s="1"/>
  <c r="C73" i="7"/>
  <c r="E72" i="7"/>
  <c r="C72" i="7"/>
  <c r="E71" i="7"/>
  <c r="H71" i="7" s="1"/>
  <c r="G71" i="7" s="1"/>
  <c r="C71" i="7"/>
  <c r="H68" i="7"/>
  <c r="G68" i="7" s="1"/>
  <c r="H67" i="7"/>
  <c r="G67" i="7" s="1"/>
  <c r="H66" i="7"/>
  <c r="G66" i="7" s="1"/>
  <c r="H65" i="7"/>
  <c r="G65" i="7" s="1"/>
  <c r="E64" i="7"/>
  <c r="E76" i="7" s="1"/>
  <c r="C64" i="7"/>
  <c r="C70" i="7" s="1"/>
  <c r="H70" i="7" s="1"/>
  <c r="G70" i="7" s="1"/>
  <c r="E63" i="7"/>
  <c r="C63" i="7"/>
  <c r="H62" i="7"/>
  <c r="G62" i="7" s="1"/>
  <c r="H61" i="7"/>
  <c r="G61" i="7" s="1"/>
  <c r="H60" i="7"/>
  <c r="G60" i="7" s="1"/>
  <c r="H59" i="7"/>
  <c r="G59" i="7" s="1"/>
  <c r="E58" i="7"/>
  <c r="C58" i="7"/>
  <c r="E55" i="7"/>
  <c r="C55" i="7"/>
  <c r="E54" i="7"/>
  <c r="C54" i="7"/>
  <c r="E53" i="7"/>
  <c r="H53" i="7" s="1"/>
  <c r="G53" i="7" s="1"/>
  <c r="C53" i="7"/>
  <c r="E52" i="7"/>
  <c r="C52" i="7"/>
  <c r="H49" i="7"/>
  <c r="G49" i="7" s="1"/>
  <c r="H48" i="7"/>
  <c r="G48" i="7" s="1"/>
  <c r="H47" i="7"/>
  <c r="G47" i="7" s="1"/>
  <c r="H46" i="7"/>
  <c r="G46" i="7" s="1"/>
  <c r="E45" i="7"/>
  <c r="E51" i="7" s="1"/>
  <c r="C45" i="7"/>
  <c r="C57" i="7" s="1"/>
  <c r="E44" i="7"/>
  <c r="C44" i="7"/>
  <c r="H43" i="7"/>
  <c r="G43" i="7" s="1"/>
  <c r="H42" i="7"/>
  <c r="G42" i="7"/>
  <c r="H41" i="7"/>
  <c r="G41" i="7" s="1"/>
  <c r="H40" i="7"/>
  <c r="G40" i="7"/>
  <c r="E39" i="7"/>
  <c r="C39" i="7"/>
  <c r="E36" i="7"/>
  <c r="C36" i="7"/>
  <c r="E35" i="7"/>
  <c r="H35" i="7" s="1"/>
  <c r="G35" i="7" s="1"/>
  <c r="C35" i="7"/>
  <c r="E34" i="7"/>
  <c r="C34" i="7"/>
  <c r="E33" i="7"/>
  <c r="H33" i="7" s="1"/>
  <c r="G33" i="7" s="1"/>
  <c r="C33" i="7"/>
  <c r="H30" i="7"/>
  <c r="G30" i="7" s="1"/>
  <c r="H29" i="7"/>
  <c r="G29" i="7" s="1"/>
  <c r="H28" i="7"/>
  <c r="G28" i="7" s="1"/>
  <c r="H27" i="7"/>
  <c r="G27" i="7" s="1"/>
  <c r="E26" i="7"/>
  <c r="E32" i="7" s="1"/>
  <c r="C26" i="7"/>
  <c r="C32" i="7" s="1"/>
  <c r="E25" i="7"/>
  <c r="E31" i="7" s="1"/>
  <c r="C25" i="7"/>
  <c r="C31" i="7" s="1"/>
  <c r="H24" i="7"/>
  <c r="G24" i="7" s="1"/>
  <c r="H23" i="7"/>
  <c r="G23" i="7" s="1"/>
  <c r="H22" i="7"/>
  <c r="G22" i="7" s="1"/>
  <c r="H21" i="7"/>
  <c r="G21" i="7"/>
  <c r="E20" i="7"/>
  <c r="C20" i="7"/>
  <c r="E17" i="7"/>
  <c r="C17" i="7"/>
  <c r="E16" i="7"/>
  <c r="C16" i="7"/>
  <c r="E15" i="7"/>
  <c r="C15" i="7"/>
  <c r="E14" i="7"/>
  <c r="C14" i="7"/>
  <c r="H11" i="7"/>
  <c r="H10" i="7"/>
  <c r="G10" i="7" s="1"/>
  <c r="H9" i="7"/>
  <c r="G9" i="7" s="1"/>
  <c r="H8" i="7"/>
  <c r="G8" i="7" s="1"/>
  <c r="P7" i="7"/>
  <c r="P8" i="7" s="1"/>
  <c r="P9" i="7" s="1"/>
  <c r="E7" i="7"/>
  <c r="E13" i="7" s="1"/>
  <c r="C7" i="7"/>
  <c r="E6" i="7"/>
  <c r="C6" i="7"/>
  <c r="H5" i="7"/>
  <c r="G5" i="7"/>
  <c r="H4" i="7"/>
  <c r="G4" i="7"/>
  <c r="H3" i="7"/>
  <c r="G3" i="7"/>
  <c r="H2" i="7"/>
  <c r="G2" i="7"/>
  <c r="E1" i="7"/>
  <c r="C1" i="7"/>
  <c r="F39" i="6"/>
  <c r="D39" i="6"/>
  <c r="B39" i="6"/>
  <c r="A39" i="6"/>
  <c r="F38" i="6"/>
  <c r="D38" i="6"/>
  <c r="B38" i="6"/>
  <c r="A38" i="6"/>
  <c r="H37" i="6"/>
  <c r="G37" i="6"/>
  <c r="F37" i="6"/>
  <c r="D37" i="6"/>
  <c r="C37" i="6"/>
  <c r="B37" i="6"/>
  <c r="A37" i="6"/>
  <c r="F36" i="6"/>
  <c r="E36" i="6"/>
  <c r="D36" i="6"/>
  <c r="B36" i="6"/>
  <c r="A36" i="6"/>
  <c r="F35" i="6"/>
  <c r="E35" i="6"/>
  <c r="D35" i="6"/>
  <c r="B35" i="6"/>
  <c r="A35" i="6"/>
  <c r="F34" i="6"/>
  <c r="D34" i="6"/>
  <c r="C34" i="6"/>
  <c r="B34" i="6"/>
  <c r="A34" i="6"/>
  <c r="F33" i="6"/>
  <c r="D33" i="6"/>
  <c r="B33" i="6"/>
  <c r="A33" i="6"/>
  <c r="F32" i="6"/>
  <c r="D32" i="6"/>
  <c r="B32" i="6"/>
  <c r="A32" i="6"/>
  <c r="I31" i="6"/>
  <c r="F31" i="6"/>
  <c r="E31" i="6"/>
  <c r="D31" i="6"/>
  <c r="C31" i="6"/>
  <c r="B31" i="6"/>
  <c r="A31" i="6"/>
  <c r="I30" i="6"/>
  <c r="F30" i="6"/>
  <c r="E30" i="6"/>
  <c r="D30" i="6"/>
  <c r="C30" i="6"/>
  <c r="B30" i="6"/>
  <c r="A30" i="6"/>
  <c r="I29" i="6"/>
  <c r="H29" i="6"/>
  <c r="F29" i="6"/>
  <c r="E29" i="6"/>
  <c r="D29" i="6"/>
  <c r="C29" i="6"/>
  <c r="B29" i="6"/>
  <c r="A29" i="6"/>
  <c r="I28" i="6"/>
  <c r="F28" i="6"/>
  <c r="E28" i="6"/>
  <c r="D28" i="6"/>
  <c r="C28" i="6"/>
  <c r="B28" i="6"/>
  <c r="A28" i="6"/>
  <c r="F27" i="6"/>
  <c r="D27" i="6"/>
  <c r="B27" i="6"/>
  <c r="A27" i="6"/>
  <c r="F26" i="6"/>
  <c r="D26" i="6"/>
  <c r="B26" i="6"/>
  <c r="A26" i="6"/>
  <c r="F25" i="6"/>
  <c r="D25" i="6"/>
  <c r="B25" i="6"/>
  <c r="A25" i="6"/>
  <c r="F24" i="6"/>
  <c r="D24" i="6"/>
  <c r="B24" i="6"/>
  <c r="A24" i="6"/>
  <c r="F23" i="6"/>
  <c r="D23" i="6"/>
  <c r="C23" i="6"/>
  <c r="B23" i="6"/>
  <c r="A23" i="6"/>
  <c r="F22" i="6"/>
  <c r="D22" i="6"/>
  <c r="B22" i="6"/>
  <c r="A22" i="6"/>
  <c r="F21" i="6"/>
  <c r="E21" i="6"/>
  <c r="D21" i="6"/>
  <c r="B21" i="6"/>
  <c r="A21" i="6"/>
  <c r="F20" i="6"/>
  <c r="D20" i="6"/>
  <c r="B20" i="6"/>
  <c r="A20" i="6"/>
  <c r="F19" i="6"/>
  <c r="D19" i="6"/>
  <c r="B19" i="6"/>
  <c r="A19" i="6"/>
  <c r="I18" i="6"/>
  <c r="F18" i="6"/>
  <c r="E18" i="6"/>
  <c r="D18" i="6"/>
  <c r="C18" i="6"/>
  <c r="B18" i="6"/>
  <c r="A18" i="6"/>
  <c r="I17" i="6"/>
  <c r="F17" i="6"/>
  <c r="E17" i="6"/>
  <c r="D17" i="6"/>
  <c r="C17" i="6"/>
  <c r="B17" i="6"/>
  <c r="A17" i="6"/>
  <c r="I16" i="6"/>
  <c r="F16" i="6"/>
  <c r="E16" i="6"/>
  <c r="D16" i="6"/>
  <c r="C16" i="6"/>
  <c r="B16" i="6"/>
  <c r="A16" i="6"/>
  <c r="I15" i="6"/>
  <c r="F15" i="6"/>
  <c r="E15" i="6"/>
  <c r="D15" i="6"/>
  <c r="C15" i="6"/>
  <c r="B15" i="6"/>
  <c r="A15" i="6"/>
  <c r="F14" i="6"/>
  <c r="D14" i="6"/>
  <c r="B14" i="6"/>
  <c r="A14" i="6"/>
  <c r="F13" i="6"/>
  <c r="D13" i="6"/>
  <c r="B13" i="6"/>
  <c r="A13" i="6"/>
  <c r="F12" i="6"/>
  <c r="D12" i="6"/>
  <c r="B12" i="6"/>
  <c r="A12" i="6"/>
  <c r="F11" i="6"/>
  <c r="D11" i="6"/>
  <c r="B11" i="6"/>
  <c r="A11" i="6"/>
  <c r="F10" i="6"/>
  <c r="D10" i="6"/>
  <c r="B10" i="6"/>
  <c r="A10" i="6"/>
  <c r="F9" i="6"/>
  <c r="D9" i="6"/>
  <c r="B9" i="6"/>
  <c r="A9" i="6"/>
  <c r="F8" i="6"/>
  <c r="D8" i="6"/>
  <c r="C8" i="6"/>
  <c r="B8" i="6"/>
  <c r="A8" i="6"/>
  <c r="F7" i="6"/>
  <c r="D7" i="6"/>
  <c r="B7" i="6"/>
  <c r="A7" i="6"/>
  <c r="F6" i="6"/>
  <c r="D6" i="6"/>
  <c r="B6" i="6"/>
  <c r="A6" i="6"/>
  <c r="I5" i="6"/>
  <c r="F5" i="6"/>
  <c r="E5" i="6"/>
  <c r="D5" i="6"/>
  <c r="C5" i="6"/>
  <c r="B5" i="6"/>
  <c r="A5" i="6"/>
  <c r="I4" i="6"/>
  <c r="F4" i="6"/>
  <c r="E4" i="6"/>
  <c r="D4" i="6"/>
  <c r="C4" i="6"/>
  <c r="B4" i="6"/>
  <c r="A4" i="6"/>
  <c r="I3" i="6"/>
  <c r="F3" i="6"/>
  <c r="E3" i="6"/>
  <c r="D3" i="6"/>
  <c r="C3" i="6"/>
  <c r="B3" i="6"/>
  <c r="A3" i="6"/>
  <c r="I2" i="6"/>
  <c r="F2" i="6"/>
  <c r="E2" i="6"/>
  <c r="D2" i="6"/>
  <c r="C2" i="6"/>
  <c r="B2" i="6"/>
  <c r="A2" i="6"/>
  <c r="F1" i="6"/>
  <c r="D1" i="6"/>
  <c r="B1" i="6"/>
  <c r="A1" i="6"/>
  <c r="F39" i="5"/>
  <c r="D39" i="5"/>
  <c r="B39" i="5"/>
  <c r="A39" i="5"/>
  <c r="F38" i="5"/>
  <c r="D38" i="5"/>
  <c r="B38" i="5"/>
  <c r="A38" i="5"/>
  <c r="F37" i="5"/>
  <c r="D37" i="5"/>
  <c r="B37" i="5"/>
  <c r="A37" i="5"/>
  <c r="F36" i="5"/>
  <c r="D36" i="5"/>
  <c r="B36" i="5"/>
  <c r="A36" i="5"/>
  <c r="F35" i="5"/>
  <c r="D35" i="5"/>
  <c r="B35" i="5"/>
  <c r="A35" i="5"/>
  <c r="F34" i="5"/>
  <c r="D34" i="5"/>
  <c r="B34" i="5"/>
  <c r="A34" i="5"/>
  <c r="F33" i="5"/>
  <c r="D33" i="5"/>
  <c r="B33" i="5"/>
  <c r="A33" i="5"/>
  <c r="F32" i="5"/>
  <c r="D32" i="5"/>
  <c r="B32" i="5"/>
  <c r="A32" i="5"/>
  <c r="I31" i="5"/>
  <c r="H31" i="5"/>
  <c r="F31" i="5"/>
  <c r="E31" i="5"/>
  <c r="D31" i="5"/>
  <c r="C31" i="5"/>
  <c r="B31" i="5"/>
  <c r="A31" i="5"/>
  <c r="I30" i="5"/>
  <c r="F30" i="5"/>
  <c r="E30" i="5"/>
  <c r="D30" i="5"/>
  <c r="C30" i="5"/>
  <c r="B30" i="5"/>
  <c r="A30" i="5"/>
  <c r="I29" i="5"/>
  <c r="F29" i="5"/>
  <c r="E29" i="5"/>
  <c r="D29" i="5"/>
  <c r="C29" i="5"/>
  <c r="B29" i="5"/>
  <c r="A29" i="5"/>
  <c r="I28" i="5"/>
  <c r="G28" i="5"/>
  <c r="F28" i="5"/>
  <c r="E28" i="5"/>
  <c r="D28" i="5"/>
  <c r="C28" i="5"/>
  <c r="B28" i="5"/>
  <c r="A28" i="5"/>
  <c r="H27" i="5"/>
  <c r="F27" i="5"/>
  <c r="D27" i="5"/>
  <c r="B27" i="5"/>
  <c r="A27" i="5"/>
  <c r="I26" i="5"/>
  <c r="F26" i="5"/>
  <c r="D26" i="5"/>
  <c r="B26" i="5"/>
  <c r="A26" i="5"/>
  <c r="I25" i="5"/>
  <c r="F25" i="5"/>
  <c r="D25" i="5"/>
  <c r="B25" i="5"/>
  <c r="A25" i="5"/>
  <c r="I24" i="5"/>
  <c r="F24" i="5"/>
  <c r="D24" i="5"/>
  <c r="B24" i="5"/>
  <c r="A24" i="5"/>
  <c r="I23" i="5"/>
  <c r="F23" i="5"/>
  <c r="D23" i="5"/>
  <c r="B23" i="5"/>
  <c r="A23" i="5"/>
  <c r="I22" i="5"/>
  <c r="F22" i="5"/>
  <c r="D22" i="5"/>
  <c r="B22" i="5"/>
  <c r="A22" i="5"/>
  <c r="I21" i="5"/>
  <c r="F21" i="5"/>
  <c r="D21" i="5"/>
  <c r="B21" i="5"/>
  <c r="A21" i="5"/>
  <c r="I20" i="5"/>
  <c r="F20" i="5"/>
  <c r="D20" i="5"/>
  <c r="B20" i="5"/>
  <c r="A20" i="5"/>
  <c r="I19" i="5"/>
  <c r="F19" i="5"/>
  <c r="D19" i="5"/>
  <c r="B19" i="5"/>
  <c r="A19" i="5"/>
  <c r="I18" i="5"/>
  <c r="F18" i="5"/>
  <c r="E18" i="5"/>
  <c r="D18" i="5"/>
  <c r="C18" i="5"/>
  <c r="B18" i="5"/>
  <c r="A18" i="5"/>
  <c r="I17" i="5"/>
  <c r="F17" i="5"/>
  <c r="E17" i="5"/>
  <c r="D17" i="5"/>
  <c r="C17" i="5"/>
  <c r="B17" i="5"/>
  <c r="A17" i="5"/>
  <c r="I16" i="5"/>
  <c r="F16" i="5"/>
  <c r="E16" i="5"/>
  <c r="D16" i="5"/>
  <c r="C16" i="5"/>
  <c r="B16" i="5"/>
  <c r="A16" i="5"/>
  <c r="I15" i="5"/>
  <c r="F15" i="5"/>
  <c r="E15" i="5"/>
  <c r="D15" i="5"/>
  <c r="C15" i="5"/>
  <c r="B15" i="5"/>
  <c r="A15" i="5"/>
  <c r="H14" i="5"/>
  <c r="F14" i="5"/>
  <c r="D14" i="5"/>
  <c r="B14" i="5"/>
  <c r="A14" i="5"/>
  <c r="F13" i="5"/>
  <c r="D13" i="5"/>
  <c r="B13" i="5"/>
  <c r="A13" i="5"/>
  <c r="F12" i="5"/>
  <c r="D12" i="5"/>
  <c r="B12" i="5"/>
  <c r="A12" i="5"/>
  <c r="F11" i="5"/>
  <c r="D11" i="5"/>
  <c r="B11" i="5"/>
  <c r="A11" i="5"/>
  <c r="F10" i="5"/>
  <c r="D10" i="5"/>
  <c r="B10" i="5"/>
  <c r="A10" i="5"/>
  <c r="F9" i="5"/>
  <c r="D9" i="5"/>
  <c r="B9" i="5"/>
  <c r="A9" i="5"/>
  <c r="F8" i="5"/>
  <c r="D8" i="5"/>
  <c r="B8" i="5"/>
  <c r="A8" i="5"/>
  <c r="F7" i="5"/>
  <c r="D7" i="5"/>
  <c r="B7" i="5"/>
  <c r="A7" i="5"/>
  <c r="I6" i="5"/>
  <c r="F6" i="5"/>
  <c r="D6" i="5"/>
  <c r="B6" i="5"/>
  <c r="A6" i="5"/>
  <c r="I5" i="5"/>
  <c r="F5" i="5"/>
  <c r="E5" i="5"/>
  <c r="D5" i="5"/>
  <c r="C5" i="5"/>
  <c r="B5" i="5"/>
  <c r="A5" i="5"/>
  <c r="I4" i="5"/>
  <c r="F4" i="5"/>
  <c r="E4" i="5"/>
  <c r="D4" i="5"/>
  <c r="C4" i="5"/>
  <c r="B4" i="5"/>
  <c r="A4" i="5"/>
  <c r="I3" i="5"/>
  <c r="F3" i="5"/>
  <c r="E3" i="5"/>
  <c r="D3" i="5"/>
  <c r="C3" i="5"/>
  <c r="B3" i="5"/>
  <c r="A3" i="5"/>
  <c r="I2" i="5"/>
  <c r="F2" i="5"/>
  <c r="E2" i="5"/>
  <c r="D2" i="5"/>
  <c r="C2" i="5"/>
  <c r="B2" i="5"/>
  <c r="A2" i="5"/>
  <c r="H1" i="5"/>
  <c r="F1" i="5"/>
  <c r="D1" i="5"/>
  <c r="B1" i="5"/>
  <c r="A1" i="5"/>
  <c r="H112" i="4"/>
  <c r="G112" i="4"/>
  <c r="E112" i="4"/>
  <c r="E37" i="6" s="1"/>
  <c r="C112" i="4"/>
  <c r="E111" i="4"/>
  <c r="C111" i="4"/>
  <c r="E110" i="4"/>
  <c r="C110" i="4"/>
  <c r="C35" i="6" s="1"/>
  <c r="E109" i="4"/>
  <c r="C109" i="4"/>
  <c r="H106" i="4"/>
  <c r="G106" i="4" s="1"/>
  <c r="H105" i="4"/>
  <c r="G105" i="4"/>
  <c r="H104" i="4"/>
  <c r="G104" i="4"/>
  <c r="H103" i="4"/>
  <c r="G103" i="4" s="1"/>
  <c r="H100" i="4"/>
  <c r="H31" i="6" s="1"/>
  <c r="H99" i="4"/>
  <c r="H98" i="4"/>
  <c r="G98" i="4"/>
  <c r="G29" i="6" s="1"/>
  <c r="H97" i="4"/>
  <c r="G97" i="4" s="1"/>
  <c r="G28" i="6" s="1"/>
  <c r="E93" i="4"/>
  <c r="E24" i="6" s="1"/>
  <c r="C93" i="4"/>
  <c r="C24" i="6" s="1"/>
  <c r="E92" i="4"/>
  <c r="C92" i="4"/>
  <c r="H91" i="4"/>
  <c r="H22" i="6" s="1"/>
  <c r="E91" i="4"/>
  <c r="E22" i="6" s="1"/>
  <c r="C91" i="4"/>
  <c r="C22" i="6" s="1"/>
  <c r="E90" i="4"/>
  <c r="C90" i="4"/>
  <c r="C21" i="6" s="1"/>
  <c r="H87" i="4"/>
  <c r="G87" i="4" s="1"/>
  <c r="H86" i="4"/>
  <c r="G86" i="4" s="1"/>
  <c r="H85" i="4"/>
  <c r="G85" i="4" s="1"/>
  <c r="H84" i="4"/>
  <c r="G84" i="4"/>
  <c r="H81" i="4"/>
  <c r="H18" i="6" s="1"/>
  <c r="G81" i="4"/>
  <c r="G18" i="6" s="1"/>
  <c r="H80" i="4"/>
  <c r="H17" i="6" s="1"/>
  <c r="G80" i="4"/>
  <c r="G17" i="6" s="1"/>
  <c r="H79" i="4"/>
  <c r="H16" i="6" s="1"/>
  <c r="G79" i="4"/>
  <c r="G16" i="6" s="1"/>
  <c r="H78" i="4"/>
  <c r="H15" i="6" s="1"/>
  <c r="G78" i="4"/>
  <c r="G15" i="6" s="1"/>
  <c r="E74" i="4"/>
  <c r="E11" i="6" s="1"/>
  <c r="C74" i="4"/>
  <c r="C11" i="6" s="1"/>
  <c r="H73" i="4"/>
  <c r="E73" i="4"/>
  <c r="E10" i="6" s="1"/>
  <c r="C73" i="4"/>
  <c r="C10" i="6" s="1"/>
  <c r="E72" i="4"/>
  <c r="C72" i="4"/>
  <c r="C9" i="6" s="1"/>
  <c r="H71" i="4"/>
  <c r="H8" i="6" s="1"/>
  <c r="G71" i="4"/>
  <c r="G8" i="6" s="1"/>
  <c r="E71" i="4"/>
  <c r="E8" i="6" s="1"/>
  <c r="C71" i="4"/>
  <c r="H68" i="4"/>
  <c r="G68" i="4" s="1"/>
  <c r="H67" i="4"/>
  <c r="G67" i="4" s="1"/>
  <c r="H66" i="4"/>
  <c r="G66" i="4"/>
  <c r="H65" i="4"/>
  <c r="G65" i="4" s="1"/>
  <c r="H62" i="4"/>
  <c r="H61" i="4"/>
  <c r="H4" i="6" s="1"/>
  <c r="H60" i="4"/>
  <c r="H59" i="4"/>
  <c r="H2" i="6" s="1"/>
  <c r="G59" i="4"/>
  <c r="G2" i="6" s="1"/>
  <c r="H55" i="4"/>
  <c r="H37" i="5" s="1"/>
  <c r="G55" i="4"/>
  <c r="G37" i="5" s="1"/>
  <c r="E55" i="4"/>
  <c r="E37" i="5" s="1"/>
  <c r="C55" i="4"/>
  <c r="C37" i="5" s="1"/>
  <c r="H54" i="4"/>
  <c r="H36" i="5" s="1"/>
  <c r="E54" i="4"/>
  <c r="E36" i="5" s="1"/>
  <c r="C54" i="4"/>
  <c r="C36" i="5" s="1"/>
  <c r="E53" i="4"/>
  <c r="E35" i="5" s="1"/>
  <c r="C53" i="4"/>
  <c r="C35" i="5" s="1"/>
  <c r="E52" i="4"/>
  <c r="C52" i="4"/>
  <c r="C34" i="5" s="1"/>
  <c r="H49" i="4"/>
  <c r="G49" i="4" s="1"/>
  <c r="H48" i="4"/>
  <c r="G48" i="4"/>
  <c r="H47" i="4"/>
  <c r="G47" i="4" s="1"/>
  <c r="H46" i="4"/>
  <c r="G46" i="4"/>
  <c r="I44" i="4"/>
  <c r="I32" i="5" s="1"/>
  <c r="H43" i="4"/>
  <c r="G43" i="4"/>
  <c r="G31" i="5" s="1"/>
  <c r="H42" i="4"/>
  <c r="H30" i="5" s="1"/>
  <c r="G42" i="4"/>
  <c r="G30" i="5" s="1"/>
  <c r="H41" i="4"/>
  <c r="H29" i="5" s="1"/>
  <c r="G41" i="4"/>
  <c r="G29" i="5" s="1"/>
  <c r="H40" i="4"/>
  <c r="H28" i="5" s="1"/>
  <c r="G40" i="4"/>
  <c r="I39" i="4"/>
  <c r="I27" i="5" s="1"/>
  <c r="E36" i="4"/>
  <c r="E24" i="5" s="1"/>
  <c r="C36" i="4"/>
  <c r="C24" i="5" s="1"/>
  <c r="E35" i="4"/>
  <c r="E23" i="5" s="1"/>
  <c r="C35" i="4"/>
  <c r="C23" i="5" s="1"/>
  <c r="E34" i="4"/>
  <c r="E22" i="5" s="1"/>
  <c r="C34" i="4"/>
  <c r="C22" i="5" s="1"/>
  <c r="E33" i="4"/>
  <c r="H33" i="4" s="1"/>
  <c r="C33" i="4"/>
  <c r="C21" i="5" s="1"/>
  <c r="H30" i="4"/>
  <c r="G30" i="4" s="1"/>
  <c r="H29" i="4"/>
  <c r="G29" i="4" s="1"/>
  <c r="H28" i="4"/>
  <c r="G28" i="4" s="1"/>
  <c r="H27" i="4"/>
  <c r="G27" i="4" s="1"/>
  <c r="H24" i="4"/>
  <c r="H18" i="5" s="1"/>
  <c r="H23" i="4"/>
  <c r="H17" i="5" s="1"/>
  <c r="H22" i="4"/>
  <c r="H16" i="5" s="1"/>
  <c r="H21" i="4"/>
  <c r="H15" i="5" s="1"/>
  <c r="E17" i="4"/>
  <c r="E11" i="5" s="1"/>
  <c r="C17" i="4"/>
  <c r="C11" i="5" s="1"/>
  <c r="E16" i="4"/>
  <c r="H16" i="4" s="1"/>
  <c r="C16" i="4"/>
  <c r="C10" i="5" s="1"/>
  <c r="E15" i="4"/>
  <c r="E9" i="5" s="1"/>
  <c r="C15" i="4"/>
  <c r="C9" i="5" s="1"/>
  <c r="H14" i="4"/>
  <c r="H8" i="5" s="1"/>
  <c r="E14" i="4"/>
  <c r="E8" i="5" s="1"/>
  <c r="C14" i="4"/>
  <c r="C8" i="5" s="1"/>
  <c r="H11" i="4"/>
  <c r="G11" i="4"/>
  <c r="H10" i="4"/>
  <c r="G10" i="4" s="1"/>
  <c r="H9" i="4"/>
  <c r="G9" i="4"/>
  <c r="H8" i="4"/>
  <c r="G8" i="4" s="1"/>
  <c r="I7" i="4"/>
  <c r="I7" i="5" s="1"/>
  <c r="H5" i="4"/>
  <c r="H5" i="5" s="1"/>
  <c r="G5" i="4"/>
  <c r="G5" i="5" s="1"/>
  <c r="H4" i="4"/>
  <c r="H4" i="5" s="1"/>
  <c r="G4" i="4"/>
  <c r="G4" i="5" s="1"/>
  <c r="H3" i="4"/>
  <c r="H3" i="5" s="1"/>
  <c r="G3" i="4"/>
  <c r="G3" i="5" s="1"/>
  <c r="H2" i="4"/>
  <c r="H2" i="5" s="1"/>
  <c r="G2" i="4"/>
  <c r="G2" i="5" s="1"/>
  <c r="W72" i="3"/>
  <c r="X72" i="3" s="1"/>
  <c r="C27" i="3" s="1"/>
  <c r="E102" i="4" s="1"/>
  <c r="W71" i="3"/>
  <c r="W70" i="3"/>
  <c r="P67" i="3"/>
  <c r="S68" i="3" s="1"/>
  <c r="O67" i="3"/>
  <c r="P66" i="3"/>
  <c r="S67" i="3" s="1"/>
  <c r="O66" i="3"/>
  <c r="N66" i="3"/>
  <c r="P65" i="3"/>
  <c r="S66" i="3" s="1"/>
  <c r="O65" i="3"/>
  <c r="N65" i="3"/>
  <c r="N64" i="3"/>
  <c r="I63" i="3"/>
  <c r="I62" i="3"/>
  <c r="V56" i="3" s="1"/>
  <c r="H62" i="3"/>
  <c r="I61" i="3"/>
  <c r="H61" i="3"/>
  <c r="H60" i="3"/>
  <c r="V57" i="3"/>
  <c r="V55" i="3"/>
  <c r="P52" i="3"/>
  <c r="O52" i="3"/>
  <c r="N51" i="3"/>
  <c r="O50" i="3"/>
  <c r="N50" i="3"/>
  <c r="L50" i="3"/>
  <c r="K50" i="3"/>
  <c r="N49" i="3"/>
  <c r="L49" i="3"/>
  <c r="K49" i="3"/>
  <c r="J49" i="3"/>
  <c r="I49" i="3"/>
  <c r="L48" i="3"/>
  <c r="K48" i="3"/>
  <c r="J48" i="3"/>
  <c r="H48" i="3"/>
  <c r="J47" i="3"/>
  <c r="H47" i="3"/>
  <c r="H46" i="3"/>
  <c r="P41" i="3"/>
  <c r="S41" i="3" s="1"/>
  <c r="C21" i="3" s="1"/>
  <c r="E26" i="4" s="1"/>
  <c r="N39" i="3"/>
  <c r="M39" i="3"/>
  <c r="J64" i="3" s="1"/>
  <c r="M38" i="3"/>
  <c r="L38" i="3"/>
  <c r="K38" i="3"/>
  <c r="I38" i="3"/>
  <c r="M37" i="3"/>
  <c r="J62" i="3" s="1"/>
  <c r="K37" i="3"/>
  <c r="I37" i="3"/>
  <c r="K36" i="3"/>
  <c r="I36" i="3"/>
  <c r="H36" i="3"/>
  <c r="V30" i="3"/>
  <c r="T29" i="3"/>
  <c r="V31" i="3" s="1"/>
  <c r="T28" i="3"/>
  <c r="R28" i="3"/>
  <c r="Q28" i="3"/>
  <c r="T27" i="3"/>
  <c r="V29" i="3" s="1"/>
  <c r="S27" i="3"/>
  <c r="R27" i="3"/>
  <c r="Q27" i="3"/>
  <c r="P27" i="3"/>
  <c r="A27" i="3"/>
  <c r="E96" i="4" s="1"/>
  <c r="E27" i="6" s="1"/>
  <c r="R26" i="3"/>
  <c r="Q26" i="3"/>
  <c r="P26" i="3"/>
  <c r="O26" i="3"/>
  <c r="N26" i="3"/>
  <c r="A26" i="3"/>
  <c r="E77" i="4" s="1"/>
  <c r="E14" i="6" s="1"/>
  <c r="P25" i="3"/>
  <c r="O25" i="3"/>
  <c r="N25" i="3"/>
  <c r="L25" i="3"/>
  <c r="I25" i="3"/>
  <c r="A25" i="3"/>
  <c r="E58" i="4" s="1"/>
  <c r="E1" i="6" s="1"/>
  <c r="O24" i="3"/>
  <c r="N24" i="3"/>
  <c r="J24" i="3"/>
  <c r="I24" i="3"/>
  <c r="H24" i="3"/>
  <c r="I23" i="3"/>
  <c r="H22" i="3"/>
  <c r="A22" i="3"/>
  <c r="E39" i="4" s="1"/>
  <c r="E27" i="5" s="1"/>
  <c r="A21" i="3"/>
  <c r="E20" i="4" s="1"/>
  <c r="E14" i="5" s="1"/>
  <c r="A20" i="3"/>
  <c r="E1" i="4" s="1"/>
  <c r="E1" i="5" s="1"/>
  <c r="L16" i="3"/>
  <c r="K16" i="3"/>
  <c r="T69" i="3" s="1"/>
  <c r="I16" i="3"/>
  <c r="H16" i="3"/>
  <c r="G16" i="3"/>
  <c r="F16" i="3"/>
  <c r="E16" i="3"/>
  <c r="P53" i="3" s="1"/>
  <c r="T55" i="3" s="1"/>
  <c r="W57" i="3" s="1"/>
  <c r="B27" i="3" s="1"/>
  <c r="E101" i="4" s="1"/>
  <c r="D16" i="3"/>
  <c r="C16" i="3"/>
  <c r="B16" i="3"/>
  <c r="L15" i="3"/>
  <c r="J63" i="3" s="1"/>
  <c r="K15" i="3"/>
  <c r="I15" i="3"/>
  <c r="H15" i="3"/>
  <c r="G15" i="3"/>
  <c r="F15" i="3"/>
  <c r="T54" i="3" s="1"/>
  <c r="E15" i="3"/>
  <c r="K64" i="3" s="1"/>
  <c r="D15" i="3"/>
  <c r="C15" i="3"/>
  <c r="B15" i="3"/>
  <c r="L14" i="3"/>
  <c r="K14" i="3"/>
  <c r="T67" i="3" s="1"/>
  <c r="I14" i="3"/>
  <c r="H14" i="3"/>
  <c r="G14" i="3"/>
  <c r="F14" i="3"/>
  <c r="E14" i="3"/>
  <c r="P51" i="3" s="1"/>
  <c r="T53" i="3" s="1"/>
  <c r="W55" i="3" s="1"/>
  <c r="B25" i="3" s="1"/>
  <c r="E63" i="4" s="1"/>
  <c r="D14" i="3"/>
  <c r="C14" i="3"/>
  <c r="B14" i="3"/>
  <c r="L13" i="3"/>
  <c r="L39" i="3" s="1"/>
  <c r="K13" i="3"/>
  <c r="S28" i="3" s="1"/>
  <c r="I13" i="3"/>
  <c r="H13" i="3"/>
  <c r="G13" i="3"/>
  <c r="H37" i="3" s="1"/>
  <c r="F13" i="3"/>
  <c r="E13" i="3"/>
  <c r="D13" i="3"/>
  <c r="C13" i="3"/>
  <c r="J25" i="3" s="1"/>
  <c r="B13" i="3"/>
  <c r="L12" i="3"/>
  <c r="K12" i="3"/>
  <c r="I12" i="3"/>
  <c r="H12" i="3"/>
  <c r="G12" i="3"/>
  <c r="F12" i="3"/>
  <c r="K24" i="3" s="1"/>
  <c r="E12" i="3"/>
  <c r="D12" i="3"/>
  <c r="C12" i="3"/>
  <c r="B12" i="3"/>
  <c r="L11" i="3"/>
  <c r="L37" i="3" s="1"/>
  <c r="K11" i="3"/>
  <c r="S26" i="3" s="1"/>
  <c r="I11" i="3"/>
  <c r="H11" i="3"/>
  <c r="L23" i="3" s="1"/>
  <c r="G11" i="3"/>
  <c r="H35" i="3" s="1"/>
  <c r="F11" i="3"/>
  <c r="K23" i="3" s="1"/>
  <c r="E11" i="3"/>
  <c r="J36" i="3" s="1"/>
  <c r="D11" i="3"/>
  <c r="C11" i="3"/>
  <c r="J23" i="3" s="1"/>
  <c r="B11" i="3"/>
  <c r="H27" i="2"/>
  <c r="H28" i="2" s="1"/>
  <c r="H29" i="2" s="1"/>
  <c r="H26" i="2"/>
  <c r="H25" i="2"/>
  <c r="U75" i="1"/>
  <c r="U74" i="1"/>
  <c r="U73" i="1"/>
  <c r="T72" i="1"/>
  <c r="T71" i="1"/>
  <c r="U71" i="1" s="1"/>
  <c r="C26" i="1" s="1"/>
  <c r="C83" i="4" s="1"/>
  <c r="T70" i="1"/>
  <c r="Q69" i="1"/>
  <c r="P67" i="1"/>
  <c r="O67" i="1"/>
  <c r="P68" i="1" s="1"/>
  <c r="N67" i="1"/>
  <c r="O66" i="1"/>
  <c r="N66" i="1"/>
  <c r="M66" i="1"/>
  <c r="O65" i="1"/>
  <c r="P66" i="1" s="1"/>
  <c r="N65" i="1"/>
  <c r="M65" i="1"/>
  <c r="M64" i="1"/>
  <c r="K64" i="1"/>
  <c r="I63" i="1"/>
  <c r="S57" i="1" s="1"/>
  <c r="I62" i="1"/>
  <c r="H62" i="1"/>
  <c r="I61" i="1"/>
  <c r="H61" i="1"/>
  <c r="H60" i="1"/>
  <c r="S56" i="1"/>
  <c r="S55" i="1"/>
  <c r="O53" i="1"/>
  <c r="Q55" i="1" s="1"/>
  <c r="N51" i="1"/>
  <c r="M51" i="1"/>
  <c r="M50" i="1"/>
  <c r="L50" i="1"/>
  <c r="K50" i="1"/>
  <c r="M49" i="1"/>
  <c r="L49" i="1"/>
  <c r="K49" i="1"/>
  <c r="J49" i="1"/>
  <c r="L48" i="1"/>
  <c r="K48" i="1"/>
  <c r="J48" i="1"/>
  <c r="H48" i="1"/>
  <c r="J47" i="1"/>
  <c r="H47" i="1"/>
  <c r="H46" i="1"/>
  <c r="O40" i="1"/>
  <c r="L39" i="1"/>
  <c r="M38" i="1"/>
  <c r="K38" i="1"/>
  <c r="I38" i="1"/>
  <c r="L37" i="1"/>
  <c r="K37" i="1"/>
  <c r="I37" i="1"/>
  <c r="K36" i="1"/>
  <c r="I36" i="1"/>
  <c r="H36" i="1"/>
  <c r="S30" i="1"/>
  <c r="Q29" i="1"/>
  <c r="S31" i="1" s="1"/>
  <c r="Q28" i="1"/>
  <c r="Q27" i="1"/>
  <c r="S29" i="1" s="1"/>
  <c r="O27" i="1"/>
  <c r="A27" i="1"/>
  <c r="C96" i="4" s="1"/>
  <c r="C27" i="6" s="1"/>
  <c r="O26" i="1"/>
  <c r="N26" i="1"/>
  <c r="M26" i="1"/>
  <c r="A26" i="1"/>
  <c r="C77" i="4" s="1"/>
  <c r="C14" i="6" s="1"/>
  <c r="O25" i="1"/>
  <c r="N25" i="1"/>
  <c r="M25" i="1"/>
  <c r="K25" i="1"/>
  <c r="J25" i="1"/>
  <c r="I25" i="1"/>
  <c r="A25" i="1"/>
  <c r="C58" i="4" s="1"/>
  <c r="C1" i="6" s="1"/>
  <c r="N24" i="1"/>
  <c r="M24" i="1"/>
  <c r="L24" i="1"/>
  <c r="K24" i="1"/>
  <c r="I24" i="1"/>
  <c r="J23" i="1"/>
  <c r="I23" i="1"/>
  <c r="H23" i="1"/>
  <c r="L16" i="1"/>
  <c r="J64" i="1" s="1"/>
  <c r="K16" i="1"/>
  <c r="N52" i="1" s="1"/>
  <c r="H16" i="1"/>
  <c r="G16" i="1"/>
  <c r="F16" i="1"/>
  <c r="E16" i="1"/>
  <c r="K65" i="1" s="1"/>
  <c r="D16" i="1"/>
  <c r="C16" i="1"/>
  <c r="B16" i="1"/>
  <c r="A16" i="1"/>
  <c r="L15" i="1"/>
  <c r="J63" i="1" s="1"/>
  <c r="K15" i="1"/>
  <c r="Q68" i="1" s="1"/>
  <c r="H15" i="1"/>
  <c r="G15" i="1"/>
  <c r="F15" i="1"/>
  <c r="E15" i="1"/>
  <c r="O52" i="1" s="1"/>
  <c r="Q54" i="1" s="1"/>
  <c r="T56" i="1" s="1"/>
  <c r="B26" i="1" s="1"/>
  <c r="C82" i="4" s="1"/>
  <c r="D15" i="1"/>
  <c r="C15" i="1"/>
  <c r="B15" i="1"/>
  <c r="A15" i="1"/>
  <c r="L14" i="1"/>
  <c r="J62" i="1" s="1"/>
  <c r="K14" i="1"/>
  <c r="H14" i="1"/>
  <c r="G14" i="1"/>
  <c r="F14" i="1"/>
  <c r="E14" i="1"/>
  <c r="D14" i="1"/>
  <c r="C14" i="1"/>
  <c r="B14" i="1"/>
  <c r="A14" i="1"/>
  <c r="L13" i="1"/>
  <c r="K13" i="1"/>
  <c r="P28" i="1" s="1"/>
  <c r="H13" i="1"/>
  <c r="L25" i="1" s="1"/>
  <c r="G13" i="1"/>
  <c r="O42" i="1" s="1"/>
  <c r="F13" i="1"/>
  <c r="M40" i="1" s="1"/>
  <c r="E13" i="1"/>
  <c r="D13" i="1"/>
  <c r="C13" i="1"/>
  <c r="B13" i="1"/>
  <c r="A13" i="1"/>
  <c r="A22" i="1" s="1"/>
  <c r="C39" i="4" s="1"/>
  <c r="C27" i="5" s="1"/>
  <c r="L12" i="1"/>
  <c r="L38" i="1" s="1"/>
  <c r="K12" i="1"/>
  <c r="P27" i="1" s="1"/>
  <c r="H12" i="1"/>
  <c r="G12" i="1"/>
  <c r="F12" i="1"/>
  <c r="M39" i="1" s="1"/>
  <c r="E12" i="1"/>
  <c r="D12" i="1"/>
  <c r="C12" i="1"/>
  <c r="J24" i="1" s="1"/>
  <c r="B12" i="1"/>
  <c r="A12" i="1"/>
  <c r="A21" i="1" s="1"/>
  <c r="C20" i="4" s="1"/>
  <c r="C14" i="5" s="1"/>
  <c r="L11" i="1"/>
  <c r="K11" i="1"/>
  <c r="P26" i="1" s="1"/>
  <c r="H11" i="1"/>
  <c r="H22" i="1" s="1"/>
  <c r="G11" i="1"/>
  <c r="H35" i="1" s="1"/>
  <c r="F11" i="1"/>
  <c r="K23" i="1" s="1"/>
  <c r="E11" i="1"/>
  <c r="J36" i="1" s="1"/>
  <c r="D11" i="1"/>
  <c r="C11" i="1"/>
  <c r="B11" i="1"/>
  <c r="A11" i="1"/>
  <c r="A20" i="1" s="1"/>
  <c r="C1" i="4" s="1"/>
  <c r="C1" i="5" s="1"/>
  <c r="H17" i="7" l="1"/>
  <c r="G17" i="7" s="1"/>
  <c r="C19" i="7"/>
  <c r="H31" i="7"/>
  <c r="G31" i="7" s="1"/>
  <c r="H32" i="7"/>
  <c r="G32" i="7" s="1"/>
  <c r="H14" i="7"/>
  <c r="G14" i="7" s="1"/>
  <c r="H63" i="7"/>
  <c r="G63" i="7" s="1"/>
  <c r="H92" i="7"/>
  <c r="G92" i="7" s="1"/>
  <c r="E57" i="7"/>
  <c r="H57" i="7" s="1"/>
  <c r="G57" i="7" s="1"/>
  <c r="H25" i="7"/>
  <c r="G25" i="7" s="1"/>
  <c r="H15" i="7"/>
  <c r="G15" i="7" s="1"/>
  <c r="H93" i="7"/>
  <c r="G93" i="7" s="1"/>
  <c r="H76" i="7"/>
  <c r="G76" i="7" s="1"/>
  <c r="H34" i="7"/>
  <c r="G34" i="7" s="1"/>
  <c r="H36" i="7"/>
  <c r="G36" i="7" s="1"/>
  <c r="C56" i="7"/>
  <c r="H52" i="7"/>
  <c r="G52" i="7" s="1"/>
  <c r="H54" i="7"/>
  <c r="G54" i="7" s="1"/>
  <c r="C75" i="7"/>
  <c r="C76" i="7"/>
  <c r="H90" i="7"/>
  <c r="G90" i="7" s="1"/>
  <c r="H111" i="7"/>
  <c r="G111" i="7" s="1"/>
  <c r="E56" i="7"/>
  <c r="E75" i="7"/>
  <c r="H75" i="7" s="1"/>
  <c r="G75" i="7" s="1"/>
  <c r="H64" i="7"/>
  <c r="G64" i="7" s="1"/>
  <c r="E95" i="7"/>
  <c r="H16" i="7"/>
  <c r="G16" i="7" s="1"/>
  <c r="H72" i="7"/>
  <c r="G72" i="7" s="1"/>
  <c r="H74" i="7"/>
  <c r="G74" i="7" s="1"/>
  <c r="E19" i="7"/>
  <c r="H19" i="7" s="1"/>
  <c r="G19" i="7" s="1"/>
  <c r="C50" i="7"/>
  <c r="H50" i="7" s="1"/>
  <c r="G50" i="7" s="1"/>
  <c r="H55" i="7"/>
  <c r="G55" i="7" s="1"/>
  <c r="C94" i="7"/>
  <c r="H94" i="7" s="1"/>
  <c r="G94" i="7" s="1"/>
  <c r="H83" i="7"/>
  <c r="G83" i="7" s="1"/>
  <c r="H91" i="7"/>
  <c r="G91" i="7" s="1"/>
  <c r="E113" i="7"/>
  <c r="C18" i="7"/>
  <c r="H18" i="7" s="1"/>
  <c r="G18" i="7" s="1"/>
  <c r="H26" i="7"/>
  <c r="G26" i="7" s="1"/>
  <c r="C51" i="7"/>
  <c r="H51" i="7" s="1"/>
  <c r="G51" i="7" s="1"/>
  <c r="E18" i="7"/>
  <c r="H44" i="7"/>
  <c r="G44" i="7" s="1"/>
  <c r="H109" i="7"/>
  <c r="G109" i="7" s="1"/>
  <c r="H56" i="7"/>
  <c r="G56" i="7" s="1"/>
  <c r="H113" i="7"/>
  <c r="G113" i="7" s="1"/>
  <c r="P10" i="7"/>
  <c r="P11" i="7" s="1"/>
  <c r="P12" i="7"/>
  <c r="P13" i="7" s="1"/>
  <c r="P14" i="7" s="1"/>
  <c r="P15" i="7" s="1"/>
  <c r="P58" i="7"/>
  <c r="P63" i="7" s="1"/>
  <c r="P64" i="7" s="1"/>
  <c r="P65" i="7" s="1"/>
  <c r="P66" i="7" s="1"/>
  <c r="P48" i="7"/>
  <c r="P49" i="7" s="1"/>
  <c r="P50" i="7"/>
  <c r="P51" i="7" s="1"/>
  <c r="P52" i="7" s="1"/>
  <c r="P53" i="7" s="1"/>
  <c r="H114" i="7"/>
  <c r="G114" i="7" s="1"/>
  <c r="H6" i="7"/>
  <c r="G6" i="7" s="1"/>
  <c r="H7" i="7"/>
  <c r="G7" i="7" s="1"/>
  <c r="C37" i="7"/>
  <c r="C38" i="7"/>
  <c r="C69" i="7"/>
  <c r="H69" i="7" s="1"/>
  <c r="G69" i="7" s="1"/>
  <c r="H82" i="7"/>
  <c r="G82" i="7" s="1"/>
  <c r="C95" i="7"/>
  <c r="H95" i="7" s="1"/>
  <c r="G95" i="7" s="1"/>
  <c r="H102" i="7"/>
  <c r="G102" i="7" s="1"/>
  <c r="E37" i="7"/>
  <c r="E38" i="7"/>
  <c r="C12" i="7"/>
  <c r="H12" i="7" s="1"/>
  <c r="G12" i="7" s="1"/>
  <c r="C13" i="7"/>
  <c r="H13" i="7" s="1"/>
  <c r="G13" i="7" s="1"/>
  <c r="C107" i="7"/>
  <c r="H107" i="7" s="1"/>
  <c r="G107" i="7" s="1"/>
  <c r="C108" i="7"/>
  <c r="H108" i="7" s="1"/>
  <c r="G108" i="7" s="1"/>
  <c r="H45" i="7"/>
  <c r="G45" i="7" s="1"/>
  <c r="C88" i="7"/>
  <c r="H88" i="7" s="1"/>
  <c r="G88" i="7" s="1"/>
  <c r="H101" i="7"/>
  <c r="G101" i="7" s="1"/>
  <c r="P40" i="1"/>
  <c r="C20" i="1" s="1"/>
  <c r="C7" i="4" s="1"/>
  <c r="E20" i="5"/>
  <c r="E38" i="4"/>
  <c r="C20" i="6"/>
  <c r="C95" i="4"/>
  <c r="C26" i="6" s="1"/>
  <c r="C89" i="4"/>
  <c r="H89" i="4" s="1"/>
  <c r="G89" i="4" s="1"/>
  <c r="C19" i="6"/>
  <c r="C88" i="4"/>
  <c r="H88" i="4" s="1"/>
  <c r="G88" i="4" s="1"/>
  <c r="C94" i="4"/>
  <c r="C25" i="6" s="1"/>
  <c r="T30" i="1"/>
  <c r="B21" i="1" s="1"/>
  <c r="C25" i="4" s="1"/>
  <c r="T57" i="1"/>
  <c r="B27" i="1" s="1"/>
  <c r="C101" i="4" s="1"/>
  <c r="T29" i="1"/>
  <c r="B20" i="1" s="1"/>
  <c r="C6" i="4" s="1"/>
  <c r="W56" i="3"/>
  <c r="B26" i="3" s="1"/>
  <c r="E82" i="4" s="1"/>
  <c r="O51" i="1"/>
  <c r="Q53" i="1" s="1"/>
  <c r="T55" i="1" s="1"/>
  <c r="B25" i="1" s="1"/>
  <c r="C63" i="4" s="1"/>
  <c r="K63" i="1"/>
  <c r="Q67" i="1"/>
  <c r="U70" i="1" s="1"/>
  <c r="C25" i="1" s="1"/>
  <c r="C64" i="4" s="1"/>
  <c r="N50" i="1"/>
  <c r="L23" i="1"/>
  <c r="K65" i="3"/>
  <c r="E6" i="6"/>
  <c r="E75" i="4"/>
  <c r="E33" i="6"/>
  <c r="E114" i="4"/>
  <c r="H24" i="1"/>
  <c r="T31" i="1" s="1"/>
  <c r="B22" i="1" s="1"/>
  <c r="C44" i="4" s="1"/>
  <c r="O41" i="1"/>
  <c r="P41" i="1" s="1"/>
  <c r="C21" i="1" s="1"/>
  <c r="C26" i="4" s="1"/>
  <c r="X70" i="3"/>
  <c r="C25" i="3" s="1"/>
  <c r="E64" i="4" s="1"/>
  <c r="H10" i="5"/>
  <c r="G16" i="4"/>
  <c r="G10" i="5" s="1"/>
  <c r="H21" i="5"/>
  <c r="G33" i="4"/>
  <c r="G21" i="5" s="1"/>
  <c r="U72" i="1"/>
  <c r="C27" i="1" s="1"/>
  <c r="C102" i="4" s="1"/>
  <c r="E113" i="4"/>
  <c r="H101" i="4"/>
  <c r="E32" i="6"/>
  <c r="H37" i="1"/>
  <c r="P42" i="1" s="1"/>
  <c r="C22" i="1" s="1"/>
  <c r="C45" i="4" s="1"/>
  <c r="N38" i="3"/>
  <c r="P40" i="3"/>
  <c r="S40" i="3" s="1"/>
  <c r="C20" i="3" s="1"/>
  <c r="E7" i="4" s="1"/>
  <c r="H23" i="3"/>
  <c r="W30" i="3" s="1"/>
  <c r="B21" i="3" s="1"/>
  <c r="E25" i="4" s="1"/>
  <c r="L24" i="3"/>
  <c r="N40" i="3"/>
  <c r="P42" i="3"/>
  <c r="S42" i="3" s="1"/>
  <c r="C22" i="3" s="1"/>
  <c r="E45" i="4" s="1"/>
  <c r="K25" i="3"/>
  <c r="O51" i="3"/>
  <c r="T68" i="3"/>
  <c r="W29" i="3"/>
  <c r="B20" i="3" s="1"/>
  <c r="E6" i="4" s="1"/>
  <c r="W31" i="3"/>
  <c r="B22" i="3" s="1"/>
  <c r="E44" i="4" s="1"/>
  <c r="K63" i="3"/>
  <c r="X71" i="3"/>
  <c r="C26" i="3" s="1"/>
  <c r="E83" i="4" s="1"/>
  <c r="H10" i="6"/>
  <c r="G73" i="4"/>
  <c r="G10" i="6" s="1"/>
  <c r="E10" i="5"/>
  <c r="E21" i="5"/>
  <c r="H15" i="4"/>
  <c r="G21" i="4"/>
  <c r="G15" i="5" s="1"/>
  <c r="G23" i="4"/>
  <c r="G17" i="5" s="1"/>
  <c r="H5" i="6"/>
  <c r="G62" i="4"/>
  <c r="G5" i="6" s="1"/>
  <c r="H74" i="4"/>
  <c r="C36" i="6"/>
  <c r="H111" i="4"/>
  <c r="H34" i="4"/>
  <c r="H35" i="4"/>
  <c r="H36" i="4"/>
  <c r="H52" i="4"/>
  <c r="E34" i="5"/>
  <c r="H3" i="6"/>
  <c r="G60" i="4"/>
  <c r="G3" i="6" s="1"/>
  <c r="E23" i="6"/>
  <c r="H92" i="4"/>
  <c r="H30" i="6"/>
  <c r="G99" i="4"/>
  <c r="G30" i="6" s="1"/>
  <c r="I8" i="4"/>
  <c r="I9" i="4" s="1"/>
  <c r="G14" i="4"/>
  <c r="G8" i="5" s="1"/>
  <c r="H17" i="4"/>
  <c r="G22" i="4"/>
  <c r="G16" i="5" s="1"/>
  <c r="G24" i="4"/>
  <c r="G18" i="5" s="1"/>
  <c r="I45" i="4"/>
  <c r="H53" i="4"/>
  <c r="G54" i="4"/>
  <c r="G36" i="5" s="1"/>
  <c r="G61" i="4"/>
  <c r="G4" i="6" s="1"/>
  <c r="E9" i="6"/>
  <c r="H72" i="4"/>
  <c r="H90" i="4"/>
  <c r="G91" i="4"/>
  <c r="G22" i="6" s="1"/>
  <c r="H93" i="4"/>
  <c r="G100" i="4"/>
  <c r="G31" i="6" s="1"/>
  <c r="H28" i="6"/>
  <c r="H110" i="4"/>
  <c r="E34" i="6"/>
  <c r="H109" i="4"/>
  <c r="H37" i="7" l="1"/>
  <c r="G37" i="7" s="1"/>
  <c r="H38" i="7"/>
  <c r="G38" i="7" s="1"/>
  <c r="P54" i="7"/>
  <c r="P55" i="7" s="1"/>
  <c r="P56" i="7"/>
  <c r="P57" i="7" s="1"/>
  <c r="P18" i="7"/>
  <c r="P19" i="7" s="1"/>
  <c r="P16" i="7"/>
  <c r="P17" i="7" s="1"/>
  <c r="P69" i="7"/>
  <c r="P70" i="7" s="1"/>
  <c r="P67" i="7"/>
  <c r="P68" i="7" s="1"/>
  <c r="C33" i="5"/>
  <c r="C57" i="4"/>
  <c r="C39" i="5" s="1"/>
  <c r="C51" i="4"/>
  <c r="H51" i="4" s="1"/>
  <c r="G51" i="4" s="1"/>
  <c r="C50" i="4"/>
  <c r="H50" i="4" s="1"/>
  <c r="G50" i="4" s="1"/>
  <c r="C56" i="4"/>
  <c r="C38" i="5" s="1"/>
  <c r="C32" i="5"/>
  <c r="C6" i="6"/>
  <c r="C75" i="4"/>
  <c r="C12" i="6" s="1"/>
  <c r="C69" i="4"/>
  <c r="H69" i="4" s="1"/>
  <c r="G69" i="4" s="1"/>
  <c r="H63" i="4"/>
  <c r="E19" i="5"/>
  <c r="E37" i="4"/>
  <c r="H25" i="4"/>
  <c r="E33" i="5"/>
  <c r="E57" i="4"/>
  <c r="H45" i="4"/>
  <c r="E7" i="6"/>
  <c r="E76" i="4"/>
  <c r="H64" i="4"/>
  <c r="E39" i="6"/>
  <c r="C19" i="5"/>
  <c r="C37" i="4"/>
  <c r="C25" i="5" s="1"/>
  <c r="C31" i="4"/>
  <c r="H31" i="4" s="1"/>
  <c r="G31" i="4" s="1"/>
  <c r="I10" i="4"/>
  <c r="I11" i="4" s="1"/>
  <c r="I12" i="4"/>
  <c r="I13" i="4" s="1"/>
  <c r="I14" i="4" s="1"/>
  <c r="G52" i="4"/>
  <c r="G34" i="5" s="1"/>
  <c r="H34" i="5"/>
  <c r="G111" i="4"/>
  <c r="G36" i="6" s="1"/>
  <c r="H36" i="6"/>
  <c r="E20" i="6"/>
  <c r="H83" i="4"/>
  <c r="E95" i="4"/>
  <c r="H32" i="6"/>
  <c r="G101" i="4"/>
  <c r="G32" i="6" s="1"/>
  <c r="C20" i="5"/>
  <c r="C38" i="4"/>
  <c r="C26" i="5" s="1"/>
  <c r="C32" i="4"/>
  <c r="H32" i="4" s="1"/>
  <c r="G32" i="4" s="1"/>
  <c r="C6" i="5"/>
  <c r="C18" i="4"/>
  <c r="C12" i="5" s="1"/>
  <c r="C12" i="4"/>
  <c r="H12" i="4" s="1"/>
  <c r="G12" i="4" s="1"/>
  <c r="H22" i="5"/>
  <c r="G34" i="4"/>
  <c r="G22" i="5" s="1"/>
  <c r="E19" i="4"/>
  <c r="H7" i="4"/>
  <c r="E7" i="5"/>
  <c r="C70" i="4"/>
  <c r="H70" i="4" s="1"/>
  <c r="G70" i="4" s="1"/>
  <c r="C76" i="4"/>
  <c r="C13" i="6" s="1"/>
  <c r="C7" i="6"/>
  <c r="H35" i="6"/>
  <c r="G110" i="4"/>
  <c r="G35" i="6" s="1"/>
  <c r="H24" i="5"/>
  <c r="G36" i="4"/>
  <c r="G24" i="5" s="1"/>
  <c r="E38" i="6"/>
  <c r="C7" i="5"/>
  <c r="C19" i="4"/>
  <c r="C13" i="5" s="1"/>
  <c r="C13" i="4"/>
  <c r="H13" i="4" s="1"/>
  <c r="G13" i="4" s="1"/>
  <c r="H24" i="6"/>
  <c r="G93" i="4"/>
  <c r="G24" i="6" s="1"/>
  <c r="I33" i="5"/>
  <c r="I46" i="4"/>
  <c r="I47" i="4" s="1"/>
  <c r="H23" i="6"/>
  <c r="G92" i="4"/>
  <c r="G23" i="6" s="1"/>
  <c r="H9" i="5"/>
  <c r="G15" i="4"/>
  <c r="G9" i="5" s="1"/>
  <c r="E6" i="5"/>
  <c r="H6" i="4"/>
  <c r="E18" i="4"/>
  <c r="E19" i="6"/>
  <c r="E94" i="4"/>
  <c r="H82" i="4"/>
  <c r="E26" i="5"/>
  <c r="H38" i="4"/>
  <c r="H21" i="6"/>
  <c r="G90" i="4"/>
  <c r="G21" i="6" s="1"/>
  <c r="H34" i="6"/>
  <c r="G109" i="4"/>
  <c r="G34" i="6" s="1"/>
  <c r="H9" i="6"/>
  <c r="G72" i="4"/>
  <c r="G9" i="6" s="1"/>
  <c r="G53" i="4"/>
  <c r="G35" i="5" s="1"/>
  <c r="H35" i="5"/>
  <c r="H11" i="5"/>
  <c r="G17" i="4"/>
  <c r="G11" i="5" s="1"/>
  <c r="H23" i="5"/>
  <c r="G35" i="4"/>
  <c r="G23" i="5" s="1"/>
  <c r="H11" i="6"/>
  <c r="G74" i="4"/>
  <c r="G11" i="6" s="1"/>
  <c r="E32" i="5"/>
  <c r="E56" i="4"/>
  <c r="H44" i="4"/>
  <c r="C108" i="4"/>
  <c r="H108" i="4" s="1"/>
  <c r="G108" i="4" s="1"/>
  <c r="C33" i="6"/>
  <c r="C114" i="4"/>
  <c r="C39" i="6" s="1"/>
  <c r="H102" i="4"/>
  <c r="E12" i="6"/>
  <c r="C32" i="6"/>
  <c r="C113" i="4"/>
  <c r="C38" i="6" s="1"/>
  <c r="C107" i="4"/>
  <c r="H107" i="4" s="1"/>
  <c r="G107" i="4" s="1"/>
  <c r="H26" i="4"/>
  <c r="P77" i="7" l="1"/>
  <c r="P82" i="7" s="1"/>
  <c r="P83" i="7" s="1"/>
  <c r="P84" i="7" s="1"/>
  <c r="P85" i="7" s="1"/>
  <c r="P71" i="7"/>
  <c r="P72" i="7" s="1"/>
  <c r="H19" i="6"/>
  <c r="G82" i="4"/>
  <c r="G19" i="6" s="1"/>
  <c r="H6" i="5"/>
  <c r="G6" i="4"/>
  <c r="G6" i="5" s="1"/>
  <c r="E13" i="5"/>
  <c r="H19" i="4"/>
  <c r="H20" i="6"/>
  <c r="G83" i="4"/>
  <c r="G20" i="6" s="1"/>
  <c r="H33" i="5"/>
  <c r="G45" i="4"/>
  <c r="G33" i="5" s="1"/>
  <c r="H37" i="4"/>
  <c r="E25" i="5"/>
  <c r="H33" i="6"/>
  <c r="G102" i="4"/>
  <c r="G33" i="6" s="1"/>
  <c r="H32" i="5"/>
  <c r="G44" i="4"/>
  <c r="G32" i="5" s="1"/>
  <c r="E25" i="6"/>
  <c r="H94" i="4"/>
  <c r="H113" i="4"/>
  <c r="G64" i="4"/>
  <c r="G7" i="6" s="1"/>
  <c r="H7" i="6"/>
  <c r="E39" i="5"/>
  <c r="H57" i="4"/>
  <c r="I8" i="5"/>
  <c r="I15" i="4"/>
  <c r="H76" i="4"/>
  <c r="E13" i="6"/>
  <c r="G63" i="4"/>
  <c r="G6" i="6" s="1"/>
  <c r="H6" i="6"/>
  <c r="H56" i="4"/>
  <c r="E38" i="5"/>
  <c r="H26" i="5"/>
  <c r="G38" i="4"/>
  <c r="G26" i="5" s="1"/>
  <c r="I50" i="4"/>
  <c r="I51" i="4" s="1"/>
  <c r="I52" i="4" s="1"/>
  <c r="I58" i="4"/>
  <c r="I63" i="4" s="1"/>
  <c r="I48" i="4"/>
  <c r="I49" i="4" s="1"/>
  <c r="H20" i="5"/>
  <c r="G26" i="4"/>
  <c r="G20" i="5" s="1"/>
  <c r="H75" i="4"/>
  <c r="E12" i="5"/>
  <c r="H18" i="4"/>
  <c r="H7" i="5"/>
  <c r="G7" i="4"/>
  <c r="G7" i="5" s="1"/>
  <c r="E26" i="6"/>
  <c r="H95" i="4"/>
  <c r="H114" i="4"/>
  <c r="H19" i="5"/>
  <c r="G25" i="4"/>
  <c r="G19" i="5" s="1"/>
  <c r="P73" i="7" l="1"/>
  <c r="P74" i="7" s="1"/>
  <c r="P75" i="7"/>
  <c r="P76" i="7" s="1"/>
  <c r="P86" i="7"/>
  <c r="P87" i="7" s="1"/>
  <c r="P96" i="7" s="1"/>
  <c r="P101" i="7" s="1"/>
  <c r="P102" i="7" s="1"/>
  <c r="P103" i="7" s="1"/>
  <c r="P104" i="7" s="1"/>
  <c r="P88" i="7"/>
  <c r="P89" i="7" s="1"/>
  <c r="P90" i="7" s="1"/>
  <c r="P91" i="7" s="1"/>
  <c r="H12" i="6"/>
  <c r="G75" i="4"/>
  <c r="G12" i="6" s="1"/>
  <c r="I6" i="6"/>
  <c r="I64" i="4"/>
  <c r="G57" i="4"/>
  <c r="G39" i="5" s="1"/>
  <c r="H39" i="5"/>
  <c r="H38" i="6"/>
  <c r="G113" i="4"/>
  <c r="G38" i="6" s="1"/>
  <c r="H25" i="5"/>
  <c r="G37" i="4"/>
  <c r="G25" i="5" s="1"/>
  <c r="H13" i="6"/>
  <c r="G76" i="4"/>
  <c r="G13" i="6" s="1"/>
  <c r="H13" i="5"/>
  <c r="G19" i="4"/>
  <c r="G13" i="5" s="1"/>
  <c r="H39" i="6"/>
  <c r="G114" i="4"/>
  <c r="G39" i="6" s="1"/>
  <c r="I34" i="5"/>
  <c r="I53" i="4"/>
  <c r="H38" i="5"/>
  <c r="G56" i="4"/>
  <c r="G38" i="5" s="1"/>
  <c r="G94" i="4"/>
  <c r="G25" i="6" s="1"/>
  <c r="H25" i="6"/>
  <c r="G95" i="4"/>
  <c r="G26" i="6" s="1"/>
  <c r="H26" i="6"/>
  <c r="G18" i="4"/>
  <c r="G12" i="5" s="1"/>
  <c r="H12" i="5"/>
  <c r="I9" i="5"/>
  <c r="I16" i="4"/>
  <c r="I18" i="4"/>
  <c r="P105" i="7" l="1"/>
  <c r="P106" i="7" s="1"/>
  <c r="P107" i="7"/>
  <c r="P108" i="7" s="1"/>
  <c r="P109" i="7" s="1"/>
  <c r="P110" i="7" s="1"/>
  <c r="P94" i="7"/>
  <c r="P95" i="7" s="1"/>
  <c r="P92" i="7"/>
  <c r="P93" i="7" s="1"/>
  <c r="I10" i="5"/>
  <c r="I17" i="4"/>
  <c r="I11" i="5" s="1"/>
  <c r="I35" i="5"/>
  <c r="I56" i="4"/>
  <c r="I54" i="4"/>
  <c r="I7" i="6"/>
  <c r="I65" i="4"/>
  <c r="I66" i="4" s="1"/>
  <c r="I12" i="5"/>
  <c r="I19" i="4"/>
  <c r="I13" i="5" s="1"/>
  <c r="P113" i="7" l="1"/>
  <c r="P114" i="7" s="1"/>
  <c r="P111" i="7"/>
  <c r="P112" i="7" s="1"/>
  <c r="I38" i="5"/>
  <c r="I57" i="4"/>
  <c r="I39" i="5" s="1"/>
  <c r="I67" i="4"/>
  <c r="I68" i="4" s="1"/>
  <c r="I69" i="4"/>
  <c r="I70" i="4" s="1"/>
  <c r="I36" i="5"/>
  <c r="I55" i="4"/>
  <c r="I37" i="5" s="1"/>
  <c r="I77" i="4" l="1"/>
  <c r="I82" i="4" s="1"/>
  <c r="I71" i="4"/>
  <c r="I8" i="6" l="1"/>
  <c r="I72" i="4"/>
  <c r="I19" i="6"/>
  <c r="I83" i="4"/>
  <c r="I20" i="6" l="1"/>
  <c r="I84" i="4"/>
  <c r="I85" i="4" s="1"/>
  <c r="I75" i="4"/>
  <c r="I9" i="6"/>
  <c r="I73" i="4"/>
  <c r="I12" i="6" l="1"/>
  <c r="I76" i="4"/>
  <c r="I13" i="6" s="1"/>
  <c r="I86" i="4"/>
  <c r="I87" i="4" s="1"/>
  <c r="I96" i="4" s="1"/>
  <c r="I101" i="4" s="1"/>
  <c r="I88" i="4"/>
  <c r="I89" i="4" s="1"/>
  <c r="I90" i="4" s="1"/>
  <c r="I74" i="4"/>
  <c r="I11" i="6" s="1"/>
  <c r="I10" i="6"/>
  <c r="I102" i="4" l="1"/>
  <c r="I32" i="6"/>
  <c r="I21" i="6"/>
  <c r="I91" i="4"/>
  <c r="I22" i="6" l="1"/>
  <c r="I94" i="4"/>
  <c r="I92" i="4"/>
  <c r="I33" i="6"/>
  <c r="I103" i="4"/>
  <c r="I104" i="4" s="1"/>
  <c r="I95" i="4" l="1"/>
  <c r="I26" i="6" s="1"/>
  <c r="I25" i="6"/>
  <c r="I23" i="6"/>
  <c r="I93" i="4"/>
  <c r="I24" i="6" s="1"/>
  <c r="I105" i="4"/>
  <c r="I106" i="4" s="1"/>
  <c r="I107" i="4"/>
  <c r="I108" i="4" s="1"/>
  <c r="I109" i="4" s="1"/>
  <c r="I34" i="6" l="1"/>
  <c r="I110" i="4"/>
  <c r="I113" i="4" l="1"/>
  <c r="I35" i="6"/>
  <c r="I111" i="4"/>
  <c r="I112" i="4" l="1"/>
  <c r="I37" i="6" s="1"/>
  <c r="I36" i="6"/>
  <c r="I38" i="6"/>
  <c r="I114" i="4"/>
  <c r="I39" i="6" s="1"/>
</calcChain>
</file>

<file path=xl/sharedStrings.xml><?xml version="1.0" encoding="utf-8"?>
<sst xmlns="http://schemas.openxmlformats.org/spreadsheetml/2006/main" count="1482" uniqueCount="129">
  <si>
    <t>Parameter set:</t>
  </si>
  <si>
    <t>PolyDeg:</t>
  </si>
  <si>
    <t>q</t>
  </si>
  <si>
    <t>p</t>
  </si>
  <si>
    <t>t</t>
  </si>
  <si>
    <t>pk_size</t>
  </si>
  <si>
    <t>sk_size</t>
  </si>
  <si>
    <t>ct_size</t>
  </si>
  <si>
    <t>cb_size</t>
  </si>
  <si>
    <t>kappa_by</t>
  </si>
  <si>
    <t>1KEM_0d</t>
  </si>
  <si>
    <t>3KEM_0d</t>
  </si>
  <si>
    <t>5KEM_0d</t>
  </si>
  <si>
    <t>1PKE_0d</t>
  </si>
  <si>
    <t>3PKE_0d</t>
  </si>
  <si>
    <t>5PKE_0d</t>
  </si>
  <si>
    <t>Cycles:</t>
  </si>
  <si>
    <t>LoadA</t>
  </si>
  <si>
    <t>LoadB</t>
  </si>
  <si>
    <t>LoadR</t>
  </si>
  <si>
    <t>LoadCTV</t>
  </si>
  <si>
    <t>LoadMSG</t>
  </si>
  <si>
    <t>LoadSk</t>
  </si>
  <si>
    <t>LoadRHO</t>
  </si>
  <si>
    <t>Encryption</t>
  </si>
  <si>
    <t>Decryption</t>
  </si>
  <si>
    <t>LATENCY:</t>
  </si>
  <si>
    <t>KEM:</t>
  </si>
  <si>
    <t>Encaps</t>
  </si>
  <si>
    <t>Decaps</t>
  </si>
  <si>
    <t>CPA-KEM</t>
  </si>
  <si>
    <t>Encaps:</t>
  </si>
  <si>
    <t>Total:</t>
  </si>
  <si>
    <t>send sigma</t>
  </si>
  <si>
    <t>Gen_A</t>
  </si>
  <si>
    <t>SendB</t>
  </si>
  <si>
    <t>send msg</t>
  </si>
  <si>
    <t>send rho</t>
  </si>
  <si>
    <t>Gen R</t>
  </si>
  <si>
    <t>MoveA</t>
  </si>
  <si>
    <t>PKE:</t>
  </si>
  <si>
    <t>Enc:</t>
  </si>
  <si>
    <t>Dec:</t>
  </si>
  <si>
    <t>CCA-PKE</t>
  </si>
  <si>
    <t>Move R</t>
  </si>
  <si>
    <t>Encrypt</t>
  </si>
  <si>
    <t>MoveCT</t>
  </si>
  <si>
    <t>Hash</t>
  </si>
  <si>
    <t>SendBack</t>
  </si>
  <si>
    <t>Decaps:</t>
  </si>
  <si>
    <t>send sk</t>
  </si>
  <si>
    <t>GenB</t>
  </si>
  <si>
    <t>Send Ct</t>
  </si>
  <si>
    <t>MoveB</t>
  </si>
  <si>
    <t>Total</t>
  </si>
  <si>
    <t>Decrypt</t>
  </si>
  <si>
    <t>MoveM</t>
  </si>
  <si>
    <t>ReadRes</t>
  </si>
  <si>
    <t>MovePK</t>
  </si>
  <si>
    <t>Hahs</t>
  </si>
  <si>
    <t>GenA</t>
  </si>
  <si>
    <t>GenR</t>
  </si>
  <si>
    <t>MoveR</t>
  </si>
  <si>
    <t>Res</t>
  </si>
  <si>
    <t>AES</t>
  </si>
  <si>
    <t>read res</t>
  </si>
  <si>
    <t>send ct</t>
  </si>
  <si>
    <t>decrypt</t>
  </si>
  <si>
    <t>move to hash</t>
  </si>
  <si>
    <t>hash</t>
  </si>
  <si>
    <t>load pk</t>
  </si>
  <si>
    <t xml:space="preserve">move = </t>
  </si>
  <si>
    <t>encrypt</t>
  </si>
  <si>
    <t>aes</t>
  </si>
  <si>
    <t>read</t>
  </si>
  <si>
    <t>1KEM_5d</t>
  </si>
  <si>
    <t>3KEM_5d</t>
  </si>
  <si>
    <t>5KEM_5d</t>
  </si>
  <si>
    <t>1PKE_5d</t>
  </si>
  <si>
    <t>3PKE_5d</t>
  </si>
  <si>
    <t>5PKE_5d</t>
  </si>
  <si>
    <t>Intel</t>
  </si>
  <si>
    <t>Parameters set:</t>
  </si>
  <si>
    <t>ALM</t>
  </si>
  <si>
    <t>RAM bits</t>
  </si>
  <si>
    <t>RAM blocks</t>
  </si>
  <si>
    <t>Registers</t>
  </si>
  <si>
    <t>Max. clk (100C)</t>
  </si>
  <si>
    <t>Max clk (-40)</t>
  </si>
  <si>
    <t>Arria 10 AX115</t>
  </si>
  <si>
    <t>Xef_shortest</t>
  </si>
  <si>
    <t>Xef_size</t>
  </si>
  <si>
    <t>LoadXEf</t>
  </si>
  <si>
    <t>Send Xef</t>
  </si>
  <si>
    <t>Xef copute</t>
  </si>
  <si>
    <t>Xef_send_back</t>
  </si>
  <si>
    <t>Send Ct+XEf</t>
  </si>
  <si>
    <t>Xef_co fix</t>
  </si>
  <si>
    <t>Parameter set</t>
  </si>
  <si>
    <t>&amp;</t>
  </si>
  <si>
    <t>Ratio</t>
  </si>
  <si>
    <t>Poly degree*</t>
  </si>
  <si>
    <t>}\\</t>
  </si>
  <si>
    <t>PK size$^*$</t>
  </si>
  <si>
    <t>SK size$^*$</t>
  </si>
  <si>
    <t>CT size$^*$</t>
  </si>
  <si>
    <t>Enc latency$^{**}$</t>
  </si>
  <si>
    <t>Dec latency$^{**}$</t>
  </si>
  <si>
    <t>Xilinx LUT’s</t>
  </si>
  <si>
    <t>Xilinx Slices</t>
  </si>
  <si>
    <t>Xilinx BRAM’s</t>
  </si>
  <si>
    <t>Xilinx Max. freq (MHz)</t>
  </si>
  <si>
    <t>Enc time</t>
  </si>
  <si>
    <t>Dec time</t>
  </si>
  <si>
    <t>Intel ALM’s</t>
  </si>
  <si>
    <t>Intel Registers</t>
  </si>
  <si>
    <t>Intel BRAM’s</t>
  </si>
  <si>
    <t>Intel Max. freq (MHz)</t>
  </si>
  <si>
    <t>LUT’s</t>
  </si>
  <si>
    <t>Slices</t>
  </si>
  <si>
    <t>BRAM’s</t>
  </si>
  <si>
    <t>Max. freq</t>
  </si>
  <si>
    <t>\hline</t>
  </si>
  <si>
    <t>\\</t>
  </si>
  <si>
    <t>}&amp;</t>
  </si>
  <si>
    <t>\textcolor{OliveGreen}{</t>
  </si>
  <si>
    <t>\textcolor{red}{</t>
  </si>
  <si>
    <t>\textcolor{OliveGreen}{+</t>
  </si>
  <si>
    <t>Max. freq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</si>
</sst>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#,##0"/>
    <numFmt numFmtId="165" formatCode="[$-409]#,##0.00"/>
    <numFmt numFmtId="166" formatCode="[$-409]#,###.00"/>
    <numFmt numFmtId="167" formatCode="[$-409]0%"/>
  </numFmts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7E6E6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Border="1" applyAlignment="1">
      <alignment horizontal="center"/>
    </xf>
    <xf numFmtId="0" fontId="0" fillId="2" borderId="1" xfId="0" applyFont="1" applyFill="1" applyBorder="1"/>
    <xf numFmtId="0" fontId="0" fillId="2" borderId="0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2" borderId="2" xfId="0" applyFont="1" applyFill="1" applyBorder="1"/>
    <xf numFmtId="164" fontId="0" fillId="0" borderId="0" xfId="0" applyNumberFormat="1"/>
    <xf numFmtId="165" fontId="0" fillId="0" borderId="0" xfId="0" applyNumberFormat="1"/>
    <xf numFmtId="0" fontId="0" fillId="5" borderId="0" xfId="0" applyFont="1" applyFill="1"/>
    <xf numFmtId="164" fontId="0" fillId="5" borderId="0" xfId="0" applyNumberFormat="1" applyFill="1"/>
    <xf numFmtId="165" fontId="0" fillId="5" borderId="0" xfId="0" applyNumberFormat="1" applyFont="1" applyFill="1"/>
    <xf numFmtId="0" fontId="0" fillId="5" borderId="0" xfId="0" applyFill="1"/>
    <xf numFmtId="0" fontId="0" fillId="0" borderId="0" xfId="0" applyFont="1"/>
    <xf numFmtId="164" fontId="0" fillId="6" borderId="0" xfId="0" applyNumberFormat="1" applyFill="1"/>
    <xf numFmtId="166" fontId="0" fillId="0" borderId="0" xfId="0" applyNumberFormat="1"/>
    <xf numFmtId="166" fontId="0" fillId="6" borderId="0" xfId="0" applyNumberFormat="1" applyFill="1"/>
    <xf numFmtId="167" fontId="0" fillId="0" borderId="0" xfId="0" applyNumberFormat="1"/>
    <xf numFmtId="167" fontId="0" fillId="5" borderId="0" xfId="0" applyNumberFormat="1" applyFill="1"/>
    <xf numFmtId="4" fontId="0" fillId="0" borderId="0" xfId="0" applyNumberFormat="1"/>
    <xf numFmtId="165" fontId="1" fillId="5" borderId="0" xfId="1" applyNumberFormat="1" applyFill="1"/>
    <xf numFmtId="164" fontId="0" fillId="0" borderId="0" xfId="0" applyNumberFormat="1" applyFill="1"/>
    <xf numFmtId="166" fontId="0" fillId="0" borderId="0" xfId="0" applyNumberFormat="1" applyFill="1"/>
    <xf numFmtId="165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="120" zoomScaleNormal="120" workbookViewId="0">
      <selection activeCell="J20" sqref="J20"/>
    </sheetView>
  </sheetViews>
  <sheetFormatPr defaultRowHeight="15" x14ac:dyDescent="0.25"/>
  <cols>
    <col min="1" max="1" width="17.140625" customWidth="1"/>
    <col min="2" max="10" width="8.5703125" customWidth="1"/>
    <col min="11" max="11" width="12.28515625" customWidth="1"/>
    <col min="12" max="12" width="10.140625" customWidth="1"/>
    <col min="13" max="1025" width="8.5703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t="s">
        <v>10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2" x14ac:dyDescent="0.25">
      <c r="A3" t="s">
        <v>11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2" x14ac:dyDescent="0.25">
      <c r="A4" t="s">
        <v>12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2" x14ac:dyDescent="0.25">
      <c r="A5" t="s">
        <v>13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2" x14ac:dyDescent="0.25">
      <c r="A6" t="s">
        <v>14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2" x14ac:dyDescent="0.25">
      <c r="A7" t="s">
        <v>15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10" spans="1:12" x14ac:dyDescent="0.25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K10" s="3" t="s">
        <v>24</v>
      </c>
      <c r="L10" s="3" t="s">
        <v>25</v>
      </c>
    </row>
    <row r="11" spans="1:12" x14ac:dyDescent="0.25">
      <c r="A11" t="str">
        <f t="shared" ref="A11:A16" si="0">A2</f>
        <v>1KEM_0d</v>
      </c>
      <c r="B11">
        <f t="shared" ref="B11:B16" si="1">_xlfn.CEILING.MATH(B2*C2/64)</f>
        <v>107</v>
      </c>
      <c r="C11">
        <f t="shared" ref="C11:C16" si="2">_xlfn.CEILING.MATH(B2*D2/64)</f>
        <v>78</v>
      </c>
      <c r="D11">
        <f t="shared" ref="D11:D16" si="3">_xlfn.CEILING.MATH(B2*2/64)</f>
        <v>20</v>
      </c>
      <c r="E11">
        <f t="shared" ref="E11:E16" si="4">_xlfn.CEILING.MATH(E2*J2*8/64)</f>
        <v>8</v>
      </c>
      <c r="F11">
        <f t="shared" ref="F11:F16" si="5">_xlfn.CEILING.MATH(J2*8/64)</f>
        <v>2</v>
      </c>
      <c r="G11">
        <f t="shared" ref="G11:G16" si="6">_xlfn.CEILING.MATH(G2*8/64)</f>
        <v>2</v>
      </c>
      <c r="H11">
        <f t="shared" ref="H11:H16" si="7">_xlfn.CEILING.MATH(J2*8/64)</f>
        <v>2</v>
      </c>
      <c r="K11">
        <f t="shared" ref="K11:K16" si="8">4*B2+10</f>
        <v>2482</v>
      </c>
      <c r="L11">
        <f t="shared" ref="L11:L16" si="9">2*B2+7</f>
        <v>1243</v>
      </c>
    </row>
    <row r="12" spans="1:12" x14ac:dyDescent="0.25">
      <c r="A12" t="str">
        <f t="shared" si="0"/>
        <v>3KEM_0d</v>
      </c>
      <c r="B12">
        <f t="shared" si="1"/>
        <v>160</v>
      </c>
      <c r="C12">
        <f t="shared" si="2"/>
        <v>111</v>
      </c>
      <c r="D12">
        <f t="shared" si="3"/>
        <v>25</v>
      </c>
      <c r="E12">
        <f t="shared" si="4"/>
        <v>12</v>
      </c>
      <c r="F12">
        <f t="shared" si="5"/>
        <v>3</v>
      </c>
      <c r="G12">
        <f t="shared" si="6"/>
        <v>3</v>
      </c>
      <c r="H12">
        <f t="shared" si="7"/>
        <v>3</v>
      </c>
      <c r="K12">
        <f t="shared" si="8"/>
        <v>3154</v>
      </c>
      <c r="L12">
        <f t="shared" si="9"/>
        <v>1579</v>
      </c>
    </row>
    <row r="13" spans="1:12" x14ac:dyDescent="0.25">
      <c r="A13" t="str">
        <f t="shared" si="0"/>
        <v>5KEM_0d</v>
      </c>
      <c r="B13">
        <f t="shared" si="1"/>
        <v>223</v>
      </c>
      <c r="C13">
        <f t="shared" si="2"/>
        <v>144</v>
      </c>
      <c r="D13">
        <f t="shared" si="3"/>
        <v>32</v>
      </c>
      <c r="E13">
        <f t="shared" si="4"/>
        <v>16</v>
      </c>
      <c r="F13">
        <f t="shared" si="5"/>
        <v>4</v>
      </c>
      <c r="G13">
        <f t="shared" si="6"/>
        <v>4</v>
      </c>
      <c r="H13">
        <f t="shared" si="7"/>
        <v>4</v>
      </c>
      <c r="K13">
        <f t="shared" si="8"/>
        <v>4082</v>
      </c>
      <c r="L13">
        <f t="shared" si="9"/>
        <v>2043</v>
      </c>
    </row>
    <row r="14" spans="1:12" x14ac:dyDescent="0.25">
      <c r="A14" t="str">
        <f t="shared" si="0"/>
        <v>1PKE_0d</v>
      </c>
      <c r="B14">
        <f t="shared" si="1"/>
        <v>120</v>
      </c>
      <c r="C14">
        <f t="shared" si="2"/>
        <v>83</v>
      </c>
      <c r="D14">
        <f t="shared" si="3"/>
        <v>19</v>
      </c>
      <c r="E14">
        <f t="shared" si="4"/>
        <v>8</v>
      </c>
      <c r="F14">
        <f t="shared" si="5"/>
        <v>2</v>
      </c>
      <c r="G14">
        <f t="shared" si="6"/>
        <v>89</v>
      </c>
      <c r="H14">
        <f t="shared" si="7"/>
        <v>2</v>
      </c>
      <c r="K14">
        <f t="shared" si="8"/>
        <v>2354</v>
      </c>
      <c r="L14">
        <f t="shared" si="9"/>
        <v>1179</v>
      </c>
    </row>
    <row r="15" spans="1:12" x14ac:dyDescent="0.25">
      <c r="A15" t="str">
        <f t="shared" si="0"/>
        <v>3PKE_0d</v>
      </c>
      <c r="B15">
        <f t="shared" si="1"/>
        <v>160</v>
      </c>
      <c r="C15">
        <f t="shared" si="2"/>
        <v>120</v>
      </c>
      <c r="D15">
        <f t="shared" si="3"/>
        <v>27</v>
      </c>
      <c r="E15">
        <f t="shared" si="4"/>
        <v>15</v>
      </c>
      <c r="F15">
        <f t="shared" si="5"/>
        <v>3</v>
      </c>
      <c r="G15">
        <f t="shared" si="6"/>
        <v>129</v>
      </c>
      <c r="H15">
        <f t="shared" si="7"/>
        <v>3</v>
      </c>
      <c r="K15">
        <f t="shared" si="8"/>
        <v>3418</v>
      </c>
      <c r="L15">
        <f t="shared" si="9"/>
        <v>1711</v>
      </c>
    </row>
    <row r="16" spans="1:12" x14ac:dyDescent="0.25">
      <c r="A16" t="str">
        <f t="shared" si="0"/>
        <v>5PKE_0d</v>
      </c>
      <c r="B16">
        <f t="shared" si="1"/>
        <v>238</v>
      </c>
      <c r="C16">
        <f t="shared" si="2"/>
        <v>165</v>
      </c>
      <c r="D16">
        <f t="shared" si="3"/>
        <v>37</v>
      </c>
      <c r="E16">
        <f t="shared" si="4"/>
        <v>20</v>
      </c>
      <c r="F16">
        <f t="shared" si="5"/>
        <v>4</v>
      </c>
      <c r="G16">
        <f t="shared" si="6"/>
        <v>177</v>
      </c>
      <c r="H16">
        <f t="shared" si="7"/>
        <v>4</v>
      </c>
      <c r="K16">
        <f t="shared" si="8"/>
        <v>4690</v>
      </c>
      <c r="L16">
        <f t="shared" si="9"/>
        <v>2347</v>
      </c>
    </row>
    <row r="18" spans="1:20" x14ac:dyDescent="0.25">
      <c r="A18" s="4" t="s">
        <v>26</v>
      </c>
    </row>
    <row r="19" spans="1:20" x14ac:dyDescent="0.25">
      <c r="A19" s="5" t="s">
        <v>27</v>
      </c>
      <c r="B19" s="5" t="s">
        <v>28</v>
      </c>
      <c r="C19" s="5" t="s">
        <v>29</v>
      </c>
      <c r="D19" s="5" t="s">
        <v>30</v>
      </c>
      <c r="H19" t="s">
        <v>31</v>
      </c>
    </row>
    <row r="20" spans="1:20" x14ac:dyDescent="0.25">
      <c r="A20" t="str">
        <f>A11</f>
        <v>1KEM_0d</v>
      </c>
      <c r="B20">
        <f>T29</f>
        <v>2985</v>
      </c>
      <c r="C20">
        <f>P40</f>
        <v>1480</v>
      </c>
      <c r="T20" t="s">
        <v>32</v>
      </c>
    </row>
    <row r="21" spans="1:20" x14ac:dyDescent="0.25">
      <c r="A21" t="str">
        <f>A12</f>
        <v>3KEM_0d</v>
      </c>
      <c r="B21">
        <f>T30</f>
        <v>3862</v>
      </c>
      <c r="C21">
        <f>P41</f>
        <v>1901</v>
      </c>
      <c r="H21" t="s">
        <v>33</v>
      </c>
    </row>
    <row r="22" spans="1:20" x14ac:dyDescent="0.25">
      <c r="A22" t="str">
        <f>A13</f>
        <v>5KEM_0d</v>
      </c>
      <c r="B22">
        <f>T31</f>
        <v>5031</v>
      </c>
      <c r="C22">
        <f>P42</f>
        <v>2450</v>
      </c>
      <c r="H22">
        <f>H11</f>
        <v>2</v>
      </c>
      <c r="I22" t="s">
        <v>34</v>
      </c>
      <c r="J22" s="6" t="s">
        <v>35</v>
      </c>
      <c r="K22" s="6" t="s">
        <v>36</v>
      </c>
      <c r="L22" s="6" t="s">
        <v>37</v>
      </c>
    </row>
    <row r="23" spans="1:20" x14ac:dyDescent="0.25">
      <c r="H23">
        <f>H12</f>
        <v>3</v>
      </c>
      <c r="I23">
        <f>_xlfn.CEILING.MATH(B2*C2/1088)*24</f>
        <v>168</v>
      </c>
      <c r="J23">
        <f>C11</f>
        <v>78</v>
      </c>
      <c r="K23">
        <f>F11</f>
        <v>2</v>
      </c>
      <c r="L23">
        <f>H11</f>
        <v>2</v>
      </c>
      <c r="M23" t="s">
        <v>38</v>
      </c>
      <c r="N23" t="s">
        <v>39</v>
      </c>
    </row>
    <row r="24" spans="1:20" x14ac:dyDescent="0.25">
      <c r="A24" s="5" t="s">
        <v>40</v>
      </c>
      <c r="B24" s="5" t="s">
        <v>41</v>
      </c>
      <c r="C24" s="5" t="s">
        <v>42</v>
      </c>
      <c r="D24" s="5" t="s">
        <v>43</v>
      </c>
      <c r="H24">
        <f>H13</f>
        <v>4</v>
      </c>
      <c r="I24">
        <f>_xlfn.CEILING.MATH(B3*C3/1088)*24</f>
        <v>240</v>
      </c>
      <c r="J24">
        <f>C12</f>
        <v>111</v>
      </c>
      <c r="K24">
        <f>F12</f>
        <v>3</v>
      </c>
      <c r="L24">
        <f>H12</f>
        <v>3</v>
      </c>
      <c r="M24">
        <f>_xlfn.CEILING.MATH(B2*2/1088)*24</f>
        <v>48</v>
      </c>
      <c r="N24">
        <f>_xlfn.CEILING.MATH(B2*C2/64)</f>
        <v>107</v>
      </c>
      <c r="O24" t="s">
        <v>44</v>
      </c>
    </row>
    <row r="25" spans="1:20" x14ac:dyDescent="0.25">
      <c r="A25" t="str">
        <f>A14</f>
        <v>1PKE_0d</v>
      </c>
      <c r="B25">
        <f>T55</f>
        <v>2990</v>
      </c>
      <c r="C25">
        <f>U70</f>
        <v>4063</v>
      </c>
      <c r="I25">
        <f>_xlfn.CEILING.MATH(B4*C4/1088)*24</f>
        <v>336</v>
      </c>
      <c r="J25">
        <f>C13</f>
        <v>144</v>
      </c>
      <c r="K25">
        <f>F13</f>
        <v>4</v>
      </c>
      <c r="L25">
        <f>H13</f>
        <v>4</v>
      </c>
      <c r="M25">
        <f>_xlfn.CEILING.MATH(B3*2/1088)*24</f>
        <v>48</v>
      </c>
      <c r="N25">
        <f>_xlfn.CEILING.MATH(B3*C3/64)</f>
        <v>160</v>
      </c>
      <c r="O25">
        <f>_xlfn.CEILING.MATH(B2*2/64)</f>
        <v>20</v>
      </c>
      <c r="P25" t="s">
        <v>45</v>
      </c>
    </row>
    <row r="26" spans="1:20" x14ac:dyDescent="0.25">
      <c r="A26" t="str">
        <f>A15</f>
        <v>3PKE_0d</v>
      </c>
      <c r="B26">
        <f>T56</f>
        <v>4248</v>
      </c>
      <c r="C26">
        <f>U71</f>
        <v>5839</v>
      </c>
      <c r="M26">
        <f>_xlfn.CEILING.MATH(B4*2/1088)*24</f>
        <v>48</v>
      </c>
      <c r="N26">
        <f>_xlfn.CEILING.MATH(B4*C4/64)</f>
        <v>223</v>
      </c>
      <c r="O26">
        <f>_xlfn.CEILING.MATH(B3*2/64)</f>
        <v>25</v>
      </c>
      <c r="P26">
        <f>K11</f>
        <v>2482</v>
      </c>
      <c r="Q26" t="s">
        <v>46</v>
      </c>
    </row>
    <row r="27" spans="1:20" x14ac:dyDescent="0.25">
      <c r="A27" t="str">
        <f>A16</f>
        <v>5PKE_0d</v>
      </c>
      <c r="B27">
        <f>T57</f>
        <v>5836</v>
      </c>
      <c r="C27">
        <f>U72</f>
        <v>7999</v>
      </c>
      <c r="O27">
        <f>_xlfn.CEILING.MATH(B4*2/64)</f>
        <v>32</v>
      </c>
      <c r="P27">
        <f>K12</f>
        <v>3154</v>
      </c>
      <c r="Q27">
        <f>_xlfn.CEILING.MATH(H2*8/64)</f>
        <v>86</v>
      </c>
      <c r="R27" t="s">
        <v>47</v>
      </c>
    </row>
    <row r="28" spans="1:20" x14ac:dyDescent="0.25">
      <c r="P28">
        <f>K13</f>
        <v>4082</v>
      </c>
      <c r="Q28">
        <f>_xlfn.CEILING.MATH(H3*8/64)</f>
        <v>123</v>
      </c>
      <c r="R28">
        <v>24</v>
      </c>
      <c r="S28" t="s">
        <v>48</v>
      </c>
    </row>
    <row r="29" spans="1:20" x14ac:dyDescent="0.25">
      <c r="Q29">
        <f>_xlfn.CEILING.MATH(H4*8/64)</f>
        <v>160</v>
      </c>
      <c r="R29">
        <v>24</v>
      </c>
      <c r="S29">
        <f>Q27+2</f>
        <v>88</v>
      </c>
      <c r="T29">
        <f>S29+R28+Q27+P26+O25+N24+I23+H22+8</f>
        <v>2985</v>
      </c>
    </row>
    <row r="30" spans="1:20" x14ac:dyDescent="0.25">
      <c r="R30">
        <v>24</v>
      </c>
      <c r="S30">
        <f>Q28+2</f>
        <v>125</v>
      </c>
      <c r="T30">
        <f>S30+R29+Q28+P27+O26+N25+I24+H23+8</f>
        <v>3862</v>
      </c>
    </row>
    <row r="31" spans="1:20" x14ac:dyDescent="0.25">
      <c r="S31">
        <f>Q29+2</f>
        <v>162</v>
      </c>
      <c r="T31">
        <f>S31+R30+Q29+P28+O27+N26+I25+H24+8</f>
        <v>5031</v>
      </c>
    </row>
    <row r="33" spans="8:20" x14ac:dyDescent="0.25">
      <c r="H33" t="s">
        <v>49</v>
      </c>
    </row>
    <row r="34" spans="8:20" x14ac:dyDescent="0.25">
      <c r="H34" t="s">
        <v>50</v>
      </c>
    </row>
    <row r="35" spans="8:20" x14ac:dyDescent="0.25">
      <c r="H35">
        <f>G11</f>
        <v>2</v>
      </c>
      <c r="I35" t="s">
        <v>51</v>
      </c>
      <c r="J35" t="s">
        <v>52</v>
      </c>
      <c r="K35" t="s">
        <v>53</v>
      </c>
      <c r="P35" t="s">
        <v>54</v>
      </c>
    </row>
    <row r="36" spans="8:20" x14ac:dyDescent="0.25">
      <c r="H36">
        <f>G12</f>
        <v>3</v>
      </c>
      <c r="I36">
        <f>_xlfn.CEILING.MATH(B2*D2/1088)*24</f>
        <v>120</v>
      </c>
      <c r="J36">
        <f>E11</f>
        <v>8</v>
      </c>
      <c r="K36">
        <f>_xlfn.CEILING.MATH(B2*D2/64)</f>
        <v>78</v>
      </c>
      <c r="L36" t="s">
        <v>55</v>
      </c>
    </row>
    <row r="37" spans="8:20" x14ac:dyDescent="0.25">
      <c r="H37">
        <f>G13</f>
        <v>4</v>
      </c>
      <c r="I37">
        <f>_xlfn.CEILING.MATH(B3*D3/1088)*24</f>
        <v>168</v>
      </c>
      <c r="K37">
        <f>_xlfn.CEILING.MATH(B3*D3/64)</f>
        <v>111</v>
      </c>
      <c r="L37">
        <f>L11</f>
        <v>1243</v>
      </c>
      <c r="M37" t="s">
        <v>56</v>
      </c>
    </row>
    <row r="38" spans="8:20" x14ac:dyDescent="0.25">
      <c r="I38">
        <f>_xlfn.CEILING.MATH(B4*D4/1088)*24</f>
        <v>216</v>
      </c>
      <c r="K38">
        <f>_xlfn.CEILING.MATH(B4*D4/64)</f>
        <v>144</v>
      </c>
      <c r="L38">
        <f>L12</f>
        <v>1579</v>
      </c>
      <c r="M38">
        <f>F11</f>
        <v>2</v>
      </c>
      <c r="N38" t="s">
        <v>47</v>
      </c>
    </row>
    <row r="39" spans="8:20" x14ac:dyDescent="0.25">
      <c r="L39">
        <f>L13</f>
        <v>2043</v>
      </c>
      <c r="M39">
        <f>F12</f>
        <v>3</v>
      </c>
      <c r="N39">
        <v>24</v>
      </c>
      <c r="O39" t="s">
        <v>57</v>
      </c>
    </row>
    <row r="40" spans="8:20" x14ac:dyDescent="0.25">
      <c r="M40">
        <f>F13</f>
        <v>4</v>
      </c>
      <c r="N40">
        <v>24</v>
      </c>
      <c r="O40">
        <f>F11+G11</f>
        <v>4</v>
      </c>
      <c r="P40">
        <f>O40+N39+M38+L37+K36+I36+H35+7</f>
        <v>1480</v>
      </c>
    </row>
    <row r="41" spans="8:20" x14ac:dyDescent="0.25">
      <c r="N41">
        <v>24</v>
      </c>
      <c r="O41">
        <f>F12+G12</f>
        <v>6</v>
      </c>
      <c r="P41">
        <f>O41+N40+M39+L38+K37+I37+H36+7</f>
        <v>1901</v>
      </c>
    </row>
    <row r="42" spans="8:20" x14ac:dyDescent="0.25">
      <c r="O42">
        <f>F13+G13</f>
        <v>8</v>
      </c>
      <c r="P42">
        <f>O42+N41+M40+L39+K38+I38+H37+7</f>
        <v>2450</v>
      </c>
    </row>
    <row r="44" spans="8:20" x14ac:dyDescent="0.25">
      <c r="H44" t="s">
        <v>45</v>
      </c>
    </row>
    <row r="45" spans="8:20" x14ac:dyDescent="0.25">
      <c r="H45" t="s">
        <v>58</v>
      </c>
    </row>
    <row r="46" spans="8:20" x14ac:dyDescent="0.25">
      <c r="H46">
        <f>_xlfn.CEILING.MATH(F5*8/64)</f>
        <v>85</v>
      </c>
      <c r="I46" t="s">
        <v>59</v>
      </c>
      <c r="J46" t="s">
        <v>60</v>
      </c>
    </row>
    <row r="47" spans="8:20" x14ac:dyDescent="0.25">
      <c r="H47">
        <f>_xlfn.CEILING.MATH(F6*8/64)</f>
        <v>123</v>
      </c>
      <c r="I47">
        <v>24</v>
      </c>
      <c r="J47">
        <f>_xlfn.CEILING.MATH(B5*C5/1088)*24</f>
        <v>192</v>
      </c>
      <c r="K47" t="s">
        <v>61</v>
      </c>
      <c r="L47" t="s">
        <v>39</v>
      </c>
      <c r="T47" t="s">
        <v>32</v>
      </c>
    </row>
    <row r="48" spans="8:20" x14ac:dyDescent="0.25">
      <c r="H48">
        <f>_xlfn.CEILING.MATH(F7*8/64)</f>
        <v>169</v>
      </c>
      <c r="I48">
        <v>24</v>
      </c>
      <c r="J48">
        <f>_xlfn.CEILING.MATH(B6*C6/1088)*24</f>
        <v>240</v>
      </c>
      <c r="K48">
        <f>_xlfn.CEILING.MATH(B5*2/1088)*24</f>
        <v>48</v>
      </c>
      <c r="L48">
        <f>_xlfn.CEILING.MATH(B5*C5/64)</f>
        <v>120</v>
      </c>
      <c r="M48" t="s">
        <v>62</v>
      </c>
    </row>
    <row r="49" spans="8:20" x14ac:dyDescent="0.25">
      <c r="I49">
        <v>24</v>
      </c>
      <c r="J49">
        <f>_xlfn.CEILING.MATH(B7*C7/1088)*24</f>
        <v>336</v>
      </c>
      <c r="K49">
        <f>_xlfn.CEILING.MATH(B6*2/1088)*24</f>
        <v>48</v>
      </c>
      <c r="L49">
        <f>_xlfn.CEILING.MATH(B6*C6/64)</f>
        <v>160</v>
      </c>
      <c r="M49">
        <f>_xlfn.CEILING.MATH(B5*2/64)</f>
        <v>19</v>
      </c>
      <c r="N49" t="s">
        <v>45</v>
      </c>
    </row>
    <row r="50" spans="8:20" x14ac:dyDescent="0.25">
      <c r="K50">
        <f>_xlfn.CEILING.MATH(B7*2/1088)*24</f>
        <v>72</v>
      </c>
      <c r="L50">
        <f>_xlfn.CEILING.MATH(B7*C7/64)</f>
        <v>238</v>
      </c>
      <c r="M50">
        <f>_xlfn.CEILING.MATH(B6*2/64)</f>
        <v>27</v>
      </c>
      <c r="N50">
        <f>K14</f>
        <v>2354</v>
      </c>
      <c r="O50" t="s">
        <v>46</v>
      </c>
    </row>
    <row r="51" spans="8:20" x14ac:dyDescent="0.25">
      <c r="M51">
        <f>_xlfn.CEILING.MATH(B7*2/64)</f>
        <v>37</v>
      </c>
      <c r="N51">
        <f>K15</f>
        <v>3418</v>
      </c>
      <c r="O51">
        <f>E14</f>
        <v>8</v>
      </c>
      <c r="P51" t="s">
        <v>47</v>
      </c>
    </row>
    <row r="52" spans="8:20" x14ac:dyDescent="0.25">
      <c r="N52">
        <f>K16</f>
        <v>4690</v>
      </c>
      <c r="O52">
        <f>E15</f>
        <v>15</v>
      </c>
      <c r="P52">
        <v>24</v>
      </c>
      <c r="Q52" t="s">
        <v>63</v>
      </c>
    </row>
    <row r="53" spans="8:20" x14ac:dyDescent="0.25">
      <c r="O53">
        <f>E16</f>
        <v>20</v>
      </c>
      <c r="P53">
        <v>24</v>
      </c>
      <c r="Q53">
        <f>O51+F14</f>
        <v>10</v>
      </c>
      <c r="R53" t="s">
        <v>64</v>
      </c>
    </row>
    <row r="54" spans="8:20" x14ac:dyDescent="0.25">
      <c r="P54">
        <v>24</v>
      </c>
      <c r="Q54">
        <f>O52+F15</f>
        <v>18</v>
      </c>
      <c r="R54">
        <v>24</v>
      </c>
      <c r="S54" t="s">
        <v>65</v>
      </c>
    </row>
    <row r="55" spans="8:20" x14ac:dyDescent="0.25">
      <c r="Q55">
        <f>O53+F16</f>
        <v>24</v>
      </c>
      <c r="R55">
        <v>24</v>
      </c>
      <c r="S55">
        <f>I61</f>
        <v>95</v>
      </c>
      <c r="T55">
        <f>S55+R54+Q53+P52+O51+N50+M49+L48+K48+J47+H46+11</f>
        <v>2990</v>
      </c>
    </row>
    <row r="56" spans="8:20" x14ac:dyDescent="0.25">
      <c r="R56">
        <v>24</v>
      </c>
      <c r="S56">
        <f>I62</f>
        <v>140</v>
      </c>
      <c r="T56">
        <f>S56+R55+Q54+P53+O52+N51+M50+L49+K49+J48+H47+11</f>
        <v>4248</v>
      </c>
    </row>
    <row r="57" spans="8:20" x14ac:dyDescent="0.25">
      <c r="S57">
        <f>I63</f>
        <v>191</v>
      </c>
      <c r="T57">
        <f>S57+R56+Q55+P54+O53+N52+M51+L50+K50+J49+H48+11</f>
        <v>5836</v>
      </c>
    </row>
    <row r="58" spans="8:20" x14ac:dyDescent="0.25">
      <c r="H58" t="s">
        <v>55</v>
      </c>
    </row>
    <row r="59" spans="8:20" x14ac:dyDescent="0.25">
      <c r="H59" t="s">
        <v>50</v>
      </c>
    </row>
    <row r="60" spans="8:20" x14ac:dyDescent="0.25">
      <c r="H60">
        <f>_xlfn.CEILING.MATH(G5*8/64)</f>
        <v>89</v>
      </c>
      <c r="I60" t="s">
        <v>66</v>
      </c>
    </row>
    <row r="61" spans="8:20" x14ac:dyDescent="0.25">
      <c r="H61">
        <f>_xlfn.CEILING.MATH(G6*8/64)</f>
        <v>129</v>
      </c>
      <c r="I61">
        <f>_xlfn.CEILING.MATH(I5*8/64)</f>
        <v>95</v>
      </c>
      <c r="J61" t="s">
        <v>67</v>
      </c>
    </row>
    <row r="62" spans="8:20" x14ac:dyDescent="0.25">
      <c r="H62">
        <f>_xlfn.CEILING.MATH(G7*8/64)</f>
        <v>177</v>
      </c>
      <c r="I62">
        <f>_xlfn.CEILING.MATH(I6*8/64)</f>
        <v>140</v>
      </c>
      <c r="J62">
        <f>L14</f>
        <v>1179</v>
      </c>
      <c r="K62" t="s">
        <v>68</v>
      </c>
    </row>
    <row r="63" spans="8:20" x14ac:dyDescent="0.25">
      <c r="I63">
        <f>_xlfn.CEILING.MATH(I7*8/64)</f>
        <v>191</v>
      </c>
      <c r="J63">
        <f>L15</f>
        <v>1711</v>
      </c>
      <c r="K63">
        <f>E14</f>
        <v>8</v>
      </c>
      <c r="L63" t="s">
        <v>69</v>
      </c>
      <c r="M63" t="s">
        <v>70</v>
      </c>
    </row>
    <row r="64" spans="8:20" x14ac:dyDescent="0.25">
      <c r="J64">
        <f>L16</f>
        <v>2347</v>
      </c>
      <c r="K64">
        <f>E15</f>
        <v>15</v>
      </c>
      <c r="L64">
        <v>24</v>
      </c>
      <c r="M64">
        <f>_xlfn.CEILING.MATH(F5*8/64)</f>
        <v>85</v>
      </c>
      <c r="N64" t="s">
        <v>60</v>
      </c>
      <c r="O64" t="s">
        <v>61</v>
      </c>
    </row>
    <row r="65" spans="11:21" x14ac:dyDescent="0.25">
      <c r="K65">
        <f>E16</f>
        <v>20</v>
      </c>
      <c r="L65">
        <v>24</v>
      </c>
      <c r="M65">
        <f>_xlfn.CEILING.MATH(F6*8/64)</f>
        <v>123</v>
      </c>
      <c r="N65">
        <f>_xlfn.CEILING.MATH(B5*C5/1088)*24</f>
        <v>192</v>
      </c>
      <c r="O65">
        <f>_xlfn.CEILING.MATH(B5*2/64)</f>
        <v>19</v>
      </c>
      <c r="P65" t="s">
        <v>71</v>
      </c>
    </row>
    <row r="66" spans="11:21" x14ac:dyDescent="0.25">
      <c r="L66">
        <v>24</v>
      </c>
      <c r="M66">
        <f>_xlfn.CEILING.MATH(F7*8/64)</f>
        <v>169</v>
      </c>
      <c r="N66">
        <f>_xlfn.CEILING.MATH(B6*C6/1088)*24</f>
        <v>240</v>
      </c>
      <c r="O66">
        <f>_xlfn.CEILING.MATH(B6*2/64)</f>
        <v>27</v>
      </c>
      <c r="P66">
        <f>O65</f>
        <v>19</v>
      </c>
      <c r="Q66" t="s">
        <v>72</v>
      </c>
      <c r="U66" t="s">
        <v>54</v>
      </c>
    </row>
    <row r="67" spans="11:21" x14ac:dyDescent="0.25">
      <c r="N67">
        <f>_xlfn.CEILING.MATH(B7*C7/1088)*24</f>
        <v>336</v>
      </c>
      <c r="O67">
        <f>_xlfn.CEILING.MATH(B7*2/64)</f>
        <v>37</v>
      </c>
      <c r="P67">
        <f>O66</f>
        <v>27</v>
      </c>
      <c r="Q67">
        <f>K14</f>
        <v>2354</v>
      </c>
      <c r="R67" t="s">
        <v>69</v>
      </c>
    </row>
    <row r="68" spans="11:21" x14ac:dyDescent="0.25">
      <c r="P68">
        <f>O67</f>
        <v>37</v>
      </c>
      <c r="Q68">
        <f>K15</f>
        <v>3418</v>
      </c>
      <c r="R68">
        <v>24</v>
      </c>
      <c r="S68" t="s">
        <v>73</v>
      </c>
    </row>
    <row r="69" spans="11:21" x14ac:dyDescent="0.25">
      <c r="Q69">
        <f>K16</f>
        <v>4690</v>
      </c>
      <c r="R69">
        <v>24</v>
      </c>
      <c r="S69">
        <v>24</v>
      </c>
      <c r="T69" t="s">
        <v>74</v>
      </c>
    </row>
    <row r="70" spans="11:21" x14ac:dyDescent="0.25">
      <c r="R70">
        <v>24</v>
      </c>
      <c r="S70">
        <v>24</v>
      </c>
      <c r="T70">
        <f>J5*8/64</f>
        <v>2</v>
      </c>
      <c r="U70">
        <f t="shared" ref="U70:U75" si="10">T70+S69+R68+Q67+P66+N65+M64+J62+I61+H60</f>
        <v>4063</v>
      </c>
    </row>
    <row r="71" spans="11:21" x14ac:dyDescent="0.25">
      <c r="S71">
        <v>24</v>
      </c>
      <c r="T71">
        <f>J6*8/64</f>
        <v>3</v>
      </c>
      <c r="U71">
        <f t="shared" si="10"/>
        <v>5839</v>
      </c>
    </row>
    <row r="72" spans="11:21" x14ac:dyDescent="0.25">
      <c r="T72">
        <f>J7*8/64</f>
        <v>4</v>
      </c>
      <c r="U72">
        <f t="shared" si="10"/>
        <v>7999</v>
      </c>
    </row>
    <row r="73" spans="11:21" x14ac:dyDescent="0.25">
      <c r="U73">
        <f t="shared" si="10"/>
        <v>0</v>
      </c>
    </row>
    <row r="74" spans="11:21" x14ac:dyDescent="0.25">
      <c r="U74">
        <f t="shared" si="10"/>
        <v>0</v>
      </c>
    </row>
    <row r="75" spans="11:21" x14ac:dyDescent="0.25">
      <c r="U75">
        <f t="shared" si="1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20" zoomScaleNormal="120" workbookViewId="0">
      <selection activeCell="B36" sqref="B36"/>
    </sheetView>
  </sheetViews>
  <sheetFormatPr defaultRowHeight="15" x14ac:dyDescent="0.25"/>
  <cols>
    <col min="1" max="1" width="14.5703125" customWidth="1"/>
    <col min="2" max="2" width="8.5703125" customWidth="1"/>
    <col min="3" max="3" width="11.42578125" customWidth="1"/>
    <col min="4" max="4" width="10.5703125" customWidth="1"/>
    <col min="5" max="5" width="10.85546875" customWidth="1"/>
    <col min="6" max="6" width="16" customWidth="1"/>
    <col min="7" max="7" width="12.7109375" customWidth="1"/>
    <col min="8" max="1025" width="8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0" x14ac:dyDescent="0.25">
      <c r="A3" t="s">
        <v>11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0" x14ac:dyDescent="0.25">
      <c r="A4" t="s">
        <v>12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0" x14ac:dyDescent="0.25">
      <c r="A5" t="s">
        <v>13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0" x14ac:dyDescent="0.25">
      <c r="A6" t="s">
        <v>14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0" x14ac:dyDescent="0.25">
      <c r="A7" t="s">
        <v>15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8" spans="1:10" x14ac:dyDescent="0.25">
      <c r="A8" t="s">
        <v>75</v>
      </c>
      <c r="B8">
        <v>490</v>
      </c>
      <c r="C8">
        <v>10</v>
      </c>
      <c r="D8">
        <v>7</v>
      </c>
      <c r="E8">
        <v>3</v>
      </c>
      <c r="F8">
        <v>445</v>
      </c>
      <c r="G8">
        <v>16</v>
      </c>
      <c r="J8">
        <v>16</v>
      </c>
    </row>
    <row r="9" spans="1:10" x14ac:dyDescent="0.25">
      <c r="A9" t="s">
        <v>76</v>
      </c>
      <c r="B9">
        <v>756</v>
      </c>
      <c r="C9">
        <v>12</v>
      </c>
      <c r="D9">
        <v>8</v>
      </c>
      <c r="E9">
        <v>2</v>
      </c>
      <c r="F9">
        <v>780</v>
      </c>
      <c r="G9">
        <v>24</v>
      </c>
      <c r="J9">
        <v>24</v>
      </c>
    </row>
    <row r="10" spans="1:10" x14ac:dyDescent="0.25">
      <c r="A10" t="s">
        <v>77</v>
      </c>
      <c r="B10">
        <v>940</v>
      </c>
      <c r="C10">
        <v>12</v>
      </c>
      <c r="D10">
        <v>8</v>
      </c>
      <c r="E10">
        <v>2</v>
      </c>
      <c r="F10">
        <v>972</v>
      </c>
      <c r="G10">
        <v>32</v>
      </c>
      <c r="J10">
        <v>32</v>
      </c>
    </row>
    <row r="11" spans="1:10" x14ac:dyDescent="0.25">
      <c r="A11" t="s">
        <v>78</v>
      </c>
      <c r="B11">
        <v>508</v>
      </c>
      <c r="C11">
        <v>10</v>
      </c>
      <c r="D11">
        <v>7</v>
      </c>
      <c r="E11">
        <v>4</v>
      </c>
      <c r="F11">
        <v>461</v>
      </c>
      <c r="G11">
        <v>493</v>
      </c>
      <c r="J11">
        <v>16</v>
      </c>
    </row>
    <row r="12" spans="1:10" x14ac:dyDescent="0.25">
      <c r="A12" t="s">
        <v>79</v>
      </c>
      <c r="B12">
        <v>756</v>
      </c>
      <c r="C12">
        <v>12</v>
      </c>
      <c r="D12">
        <v>8</v>
      </c>
      <c r="E12">
        <v>3</v>
      </c>
      <c r="F12">
        <v>780</v>
      </c>
      <c r="G12">
        <v>828</v>
      </c>
      <c r="J12">
        <v>24</v>
      </c>
    </row>
    <row r="13" spans="1:10" x14ac:dyDescent="0.25">
      <c r="A13" t="s">
        <v>80</v>
      </c>
      <c r="B13">
        <v>946</v>
      </c>
      <c r="C13">
        <v>11</v>
      </c>
      <c r="D13">
        <v>8</v>
      </c>
      <c r="E13">
        <v>5</v>
      </c>
      <c r="F13">
        <v>978</v>
      </c>
      <c r="G13">
        <v>1042</v>
      </c>
      <c r="J13">
        <v>32</v>
      </c>
    </row>
    <row r="14" spans="1:10" x14ac:dyDescent="0.25">
      <c r="B14" s="1" t="s">
        <v>81</v>
      </c>
      <c r="C14" s="1"/>
      <c r="D14" s="1"/>
      <c r="E14" s="1"/>
      <c r="F14" s="1"/>
      <c r="G14" s="1"/>
    </row>
    <row r="15" spans="1:10" x14ac:dyDescent="0.25">
      <c r="A15" s="5" t="s">
        <v>82</v>
      </c>
      <c r="B15" s="5" t="s">
        <v>83</v>
      </c>
      <c r="C15" s="5" t="s">
        <v>84</v>
      </c>
      <c r="D15" s="5" t="s">
        <v>85</v>
      </c>
      <c r="E15" s="5" t="s">
        <v>86</v>
      </c>
      <c r="F15" s="5" t="s">
        <v>87</v>
      </c>
      <c r="G15" s="5" t="s">
        <v>88</v>
      </c>
      <c r="H15" s="5"/>
      <c r="I15" s="5"/>
    </row>
    <row r="16" spans="1:10" x14ac:dyDescent="0.25">
      <c r="A16" t="s">
        <v>10</v>
      </c>
      <c r="B16">
        <v>33036</v>
      </c>
      <c r="C16">
        <v>32768</v>
      </c>
      <c r="D16">
        <v>4</v>
      </c>
      <c r="E16">
        <v>74321</v>
      </c>
      <c r="F16">
        <v>192.42</v>
      </c>
      <c r="G16">
        <v>212.04</v>
      </c>
      <c r="H16" t="s">
        <v>89</v>
      </c>
    </row>
    <row r="17" spans="1:8" x14ac:dyDescent="0.25">
      <c r="A17" t="s">
        <v>11</v>
      </c>
      <c r="B17">
        <v>46466</v>
      </c>
      <c r="C17">
        <v>32768</v>
      </c>
      <c r="D17">
        <v>4</v>
      </c>
      <c r="E17">
        <v>107014</v>
      </c>
      <c r="F17">
        <v>177.34</v>
      </c>
      <c r="G17">
        <v>198.22</v>
      </c>
      <c r="H17" t="s">
        <v>89</v>
      </c>
    </row>
    <row r="18" spans="1:8" x14ac:dyDescent="0.25">
      <c r="A18" t="s">
        <v>12</v>
      </c>
      <c r="B18">
        <v>61823</v>
      </c>
      <c r="C18">
        <v>32768</v>
      </c>
      <c r="D18">
        <v>4</v>
      </c>
      <c r="E18">
        <v>146373</v>
      </c>
      <c r="F18">
        <v>183.82</v>
      </c>
      <c r="G18">
        <v>204.12</v>
      </c>
      <c r="H18" t="s">
        <v>89</v>
      </c>
    </row>
    <row r="19" spans="1:8" x14ac:dyDescent="0.25">
      <c r="A19" t="s">
        <v>13</v>
      </c>
      <c r="B19">
        <v>37252</v>
      </c>
      <c r="C19">
        <v>49152</v>
      </c>
      <c r="D19">
        <v>6</v>
      </c>
      <c r="E19">
        <v>82814</v>
      </c>
      <c r="F19">
        <v>191.09</v>
      </c>
      <c r="G19">
        <v>207.56</v>
      </c>
      <c r="H19" t="s">
        <v>89</v>
      </c>
    </row>
    <row r="20" spans="1:8" x14ac:dyDescent="0.25">
      <c r="A20" t="s">
        <v>14</v>
      </c>
      <c r="B20">
        <v>48029</v>
      </c>
      <c r="C20">
        <v>49152</v>
      </c>
      <c r="D20">
        <v>6</v>
      </c>
      <c r="E20">
        <v>108844</v>
      </c>
      <c r="F20">
        <v>194.7</v>
      </c>
      <c r="G20">
        <v>214.55</v>
      </c>
      <c r="H20" t="s">
        <v>89</v>
      </c>
    </row>
    <row r="21" spans="1:8" x14ac:dyDescent="0.25">
      <c r="A21" t="s">
        <v>15</v>
      </c>
      <c r="B21">
        <v>69727</v>
      </c>
      <c r="C21">
        <v>49152</v>
      </c>
      <c r="D21">
        <v>6</v>
      </c>
      <c r="E21">
        <v>157660</v>
      </c>
      <c r="F21">
        <v>187.55</v>
      </c>
      <c r="G21">
        <v>206.87</v>
      </c>
      <c r="H21" t="s">
        <v>89</v>
      </c>
    </row>
    <row r="24" spans="1:8" x14ac:dyDescent="0.25">
      <c r="A24" t="s">
        <v>75</v>
      </c>
      <c r="B24">
        <v>24192</v>
      </c>
      <c r="C24">
        <v>32768</v>
      </c>
      <c r="D24">
        <v>4</v>
      </c>
      <c r="E24">
        <v>54985</v>
      </c>
      <c r="F24">
        <v>219.88</v>
      </c>
      <c r="H24" t="s">
        <v>89</v>
      </c>
    </row>
    <row r="25" spans="1:8" x14ac:dyDescent="0.25">
      <c r="A25" t="s">
        <v>76</v>
      </c>
      <c r="B25">
        <v>40885</v>
      </c>
      <c r="C25">
        <v>32768</v>
      </c>
      <c r="D25">
        <v>4</v>
      </c>
      <c r="E25">
        <v>97090</v>
      </c>
      <c r="F25">
        <v>193.01</v>
      </c>
      <c r="H25" t="str">
        <f>H24</f>
        <v>Arria 10 AX115</v>
      </c>
    </row>
    <row r="26" spans="1:8" x14ac:dyDescent="0.25">
      <c r="A26" t="s">
        <v>77</v>
      </c>
      <c r="B26">
        <v>50145</v>
      </c>
      <c r="C26">
        <v>32768</v>
      </c>
      <c r="D26">
        <v>4</v>
      </c>
      <c r="E26">
        <v>117657</v>
      </c>
      <c r="F26">
        <v>184.2</v>
      </c>
      <c r="H26" t="str">
        <f>H25</f>
        <v>Arria 10 AX115</v>
      </c>
    </row>
    <row r="27" spans="1:8" x14ac:dyDescent="0.25">
      <c r="A27" t="s">
        <v>78</v>
      </c>
      <c r="B27">
        <v>26998</v>
      </c>
      <c r="C27">
        <v>49152</v>
      </c>
      <c r="D27">
        <v>6</v>
      </c>
      <c r="E27">
        <v>57028</v>
      </c>
      <c r="F27">
        <v>193.57</v>
      </c>
      <c r="H27" t="str">
        <f>H26</f>
        <v>Arria 10 AX115</v>
      </c>
    </row>
    <row r="28" spans="1:8" x14ac:dyDescent="0.25">
      <c r="A28" t="s">
        <v>79</v>
      </c>
      <c r="B28">
        <v>43014</v>
      </c>
      <c r="C28">
        <v>49152</v>
      </c>
      <c r="D28">
        <v>6</v>
      </c>
      <c r="E28">
        <v>96859</v>
      </c>
      <c r="F28">
        <v>189.83</v>
      </c>
      <c r="G28">
        <v>208.07</v>
      </c>
      <c r="H28" t="str">
        <f>H27</f>
        <v>Arria 10 AX115</v>
      </c>
    </row>
    <row r="29" spans="1:8" x14ac:dyDescent="0.25">
      <c r="A29" t="s">
        <v>80</v>
      </c>
      <c r="B29">
        <v>50373</v>
      </c>
      <c r="C29">
        <v>491522</v>
      </c>
      <c r="D29">
        <v>6</v>
      </c>
      <c r="E29">
        <v>112311</v>
      </c>
      <c r="F29">
        <v>197.23</v>
      </c>
      <c r="G29">
        <v>220.17</v>
      </c>
      <c r="H29" t="str">
        <f>H28</f>
        <v>Arria 10 AX115</v>
      </c>
    </row>
  </sheetData>
  <mergeCells count="1">
    <mergeCell ref="B14:G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120" zoomScaleNormal="120" workbookViewId="0">
      <selection activeCell="H2" sqref="H2"/>
    </sheetView>
  </sheetViews>
  <sheetFormatPr defaultRowHeight="15" x14ac:dyDescent="0.25"/>
  <cols>
    <col min="1" max="1" width="16.140625" customWidth="1"/>
    <col min="2" max="17" width="8.5703125" customWidth="1"/>
    <col min="18" max="18" width="18.7109375" customWidth="1"/>
    <col min="19" max="1025" width="8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90</v>
      </c>
      <c r="L1" s="2" t="s">
        <v>91</v>
      </c>
      <c r="M1" s="2"/>
    </row>
    <row r="2" spans="1:13" x14ac:dyDescent="0.25">
      <c r="A2" t="s">
        <v>75</v>
      </c>
      <c r="B2">
        <v>490</v>
      </c>
      <c r="C2">
        <v>10</v>
      </c>
      <c r="D2">
        <v>7</v>
      </c>
      <c r="E2">
        <v>3</v>
      </c>
      <c r="F2">
        <v>445</v>
      </c>
      <c r="G2">
        <v>16</v>
      </c>
      <c r="J2">
        <v>16</v>
      </c>
      <c r="K2">
        <v>11</v>
      </c>
      <c r="L2">
        <v>190</v>
      </c>
    </row>
    <row r="3" spans="1:13" x14ac:dyDescent="0.25">
      <c r="A3" t="s">
        <v>76</v>
      </c>
      <c r="B3">
        <v>756</v>
      </c>
      <c r="C3">
        <v>12</v>
      </c>
      <c r="D3">
        <v>8</v>
      </c>
      <c r="E3">
        <v>2</v>
      </c>
      <c r="F3">
        <v>780</v>
      </c>
      <c r="G3">
        <v>24</v>
      </c>
      <c r="J3">
        <v>24</v>
      </c>
      <c r="K3">
        <v>13</v>
      </c>
      <c r="L3">
        <v>218</v>
      </c>
    </row>
    <row r="4" spans="1:13" x14ac:dyDescent="0.25">
      <c r="A4" t="s">
        <v>77</v>
      </c>
      <c r="B4">
        <v>940</v>
      </c>
      <c r="C4">
        <v>12</v>
      </c>
      <c r="D4">
        <v>8</v>
      </c>
      <c r="E4">
        <v>2</v>
      </c>
      <c r="F4">
        <v>972</v>
      </c>
      <c r="G4">
        <v>32</v>
      </c>
      <c r="J4">
        <v>32</v>
      </c>
      <c r="K4">
        <v>16</v>
      </c>
      <c r="L4">
        <v>234</v>
      </c>
    </row>
    <row r="5" spans="1:13" x14ac:dyDescent="0.25">
      <c r="A5" t="s">
        <v>78</v>
      </c>
      <c r="B5">
        <v>508</v>
      </c>
      <c r="C5">
        <v>10</v>
      </c>
      <c r="D5">
        <v>7</v>
      </c>
      <c r="E5">
        <v>4</v>
      </c>
      <c r="F5">
        <v>461</v>
      </c>
      <c r="G5">
        <v>493</v>
      </c>
      <c r="J5">
        <v>16</v>
      </c>
      <c r="K5">
        <v>11</v>
      </c>
      <c r="L5">
        <v>190</v>
      </c>
    </row>
    <row r="6" spans="1:13" x14ac:dyDescent="0.25">
      <c r="A6" t="s">
        <v>79</v>
      </c>
      <c r="B6">
        <v>756</v>
      </c>
      <c r="C6">
        <v>12</v>
      </c>
      <c r="D6">
        <v>8</v>
      </c>
      <c r="E6">
        <v>3</v>
      </c>
      <c r="F6">
        <v>780</v>
      </c>
      <c r="G6">
        <v>828</v>
      </c>
      <c r="J6">
        <v>24</v>
      </c>
      <c r="K6">
        <v>13</v>
      </c>
      <c r="L6">
        <v>218</v>
      </c>
    </row>
    <row r="7" spans="1:13" x14ac:dyDescent="0.25">
      <c r="A7" t="s">
        <v>80</v>
      </c>
      <c r="B7">
        <v>946</v>
      </c>
      <c r="C7">
        <v>11</v>
      </c>
      <c r="D7">
        <v>8</v>
      </c>
      <c r="E7">
        <v>5</v>
      </c>
      <c r="F7">
        <v>978</v>
      </c>
      <c r="G7">
        <v>1042</v>
      </c>
      <c r="J7">
        <v>32</v>
      </c>
      <c r="K7">
        <v>16</v>
      </c>
      <c r="L7">
        <v>234</v>
      </c>
    </row>
    <row r="10" spans="1:13" x14ac:dyDescent="0.25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I10" s="7" t="s">
        <v>92</v>
      </c>
      <c r="K10" s="3" t="s">
        <v>24</v>
      </c>
      <c r="L10" s="3" t="s">
        <v>25</v>
      </c>
      <c r="M10" s="3"/>
    </row>
    <row r="11" spans="1:13" x14ac:dyDescent="0.25">
      <c r="A11" t="s">
        <v>75</v>
      </c>
      <c r="B11">
        <f t="shared" ref="B11:B16" si="0">_xlfn.CEILING.MATH(B2*C2/64)</f>
        <v>77</v>
      </c>
      <c r="C11">
        <f t="shared" ref="C11:C16" si="1">_xlfn.CEILING.MATH(B2*D2/64)</f>
        <v>54</v>
      </c>
      <c r="D11">
        <f t="shared" ref="D11:D16" si="2">_xlfn.CEILING.MATH(B2*2/64)</f>
        <v>16</v>
      </c>
      <c r="E11">
        <f t="shared" ref="E11:E16" si="3">_xlfn.CEILING.MATH(E2*J2*8/64)</f>
        <v>6</v>
      </c>
      <c r="F11">
        <f t="shared" ref="F11:F16" si="4">_xlfn.CEILING.MATH(J2*8/64)</f>
        <v>2</v>
      </c>
      <c r="G11">
        <f t="shared" ref="G11:G16" si="5">_xlfn.CEILING.MATH(G2*8/64)</f>
        <v>2</v>
      </c>
      <c r="H11">
        <f t="shared" ref="H11:H16" si="6">_xlfn.CEILING.MATH(J2*8/64)</f>
        <v>2</v>
      </c>
      <c r="I11">
        <f t="shared" ref="I11:I16" si="7">_xlfn.CEILING.MATH(L2/64)</f>
        <v>3</v>
      </c>
      <c r="K11">
        <f t="shared" ref="K11:K16" si="8">4*B2+10</f>
        <v>1970</v>
      </c>
      <c r="L11">
        <f t="shared" ref="L11:L16" si="9">2*B2+7</f>
        <v>987</v>
      </c>
    </row>
    <row r="12" spans="1:13" x14ac:dyDescent="0.25">
      <c r="A12" t="s">
        <v>76</v>
      </c>
      <c r="B12">
        <f t="shared" si="0"/>
        <v>142</v>
      </c>
      <c r="C12">
        <f t="shared" si="1"/>
        <v>95</v>
      </c>
      <c r="D12">
        <f t="shared" si="2"/>
        <v>24</v>
      </c>
      <c r="E12">
        <f t="shared" si="3"/>
        <v>6</v>
      </c>
      <c r="F12">
        <f t="shared" si="4"/>
        <v>3</v>
      </c>
      <c r="G12">
        <f t="shared" si="5"/>
        <v>3</v>
      </c>
      <c r="H12">
        <f t="shared" si="6"/>
        <v>3</v>
      </c>
      <c r="I12">
        <f t="shared" si="7"/>
        <v>4</v>
      </c>
      <c r="K12">
        <f t="shared" si="8"/>
        <v>3034</v>
      </c>
      <c r="L12">
        <f t="shared" si="9"/>
        <v>1519</v>
      </c>
    </row>
    <row r="13" spans="1:13" x14ac:dyDescent="0.25">
      <c r="A13" t="s">
        <v>77</v>
      </c>
      <c r="B13">
        <f t="shared" si="0"/>
        <v>177</v>
      </c>
      <c r="C13">
        <f t="shared" si="1"/>
        <v>118</v>
      </c>
      <c r="D13">
        <f t="shared" si="2"/>
        <v>30</v>
      </c>
      <c r="E13">
        <f t="shared" si="3"/>
        <v>8</v>
      </c>
      <c r="F13">
        <f t="shared" si="4"/>
        <v>4</v>
      </c>
      <c r="G13">
        <f t="shared" si="5"/>
        <v>4</v>
      </c>
      <c r="H13">
        <f t="shared" si="6"/>
        <v>4</v>
      </c>
      <c r="I13">
        <f t="shared" si="7"/>
        <v>4</v>
      </c>
      <c r="K13">
        <f t="shared" si="8"/>
        <v>3770</v>
      </c>
      <c r="L13">
        <f t="shared" si="9"/>
        <v>1887</v>
      </c>
    </row>
    <row r="14" spans="1:13" x14ac:dyDescent="0.25">
      <c r="A14" t="s">
        <v>78</v>
      </c>
      <c r="B14">
        <f t="shared" si="0"/>
        <v>80</v>
      </c>
      <c r="C14">
        <f t="shared" si="1"/>
        <v>56</v>
      </c>
      <c r="D14">
        <f t="shared" si="2"/>
        <v>16</v>
      </c>
      <c r="E14">
        <f t="shared" si="3"/>
        <v>8</v>
      </c>
      <c r="F14">
        <f t="shared" si="4"/>
        <v>2</v>
      </c>
      <c r="G14">
        <f t="shared" si="5"/>
        <v>62</v>
      </c>
      <c r="H14">
        <f t="shared" si="6"/>
        <v>2</v>
      </c>
      <c r="I14">
        <f t="shared" si="7"/>
        <v>3</v>
      </c>
      <c r="K14">
        <f t="shared" si="8"/>
        <v>2042</v>
      </c>
      <c r="L14">
        <f t="shared" si="9"/>
        <v>1023</v>
      </c>
    </row>
    <row r="15" spans="1:13" x14ac:dyDescent="0.25">
      <c r="A15" t="s">
        <v>79</v>
      </c>
      <c r="B15">
        <f t="shared" si="0"/>
        <v>142</v>
      </c>
      <c r="C15">
        <f t="shared" si="1"/>
        <v>95</v>
      </c>
      <c r="D15">
        <f t="shared" si="2"/>
        <v>24</v>
      </c>
      <c r="E15">
        <f t="shared" si="3"/>
        <v>9</v>
      </c>
      <c r="F15">
        <f t="shared" si="4"/>
        <v>3</v>
      </c>
      <c r="G15">
        <f t="shared" si="5"/>
        <v>104</v>
      </c>
      <c r="H15">
        <f t="shared" si="6"/>
        <v>3</v>
      </c>
      <c r="I15">
        <f t="shared" si="7"/>
        <v>4</v>
      </c>
      <c r="K15">
        <f t="shared" si="8"/>
        <v>3034</v>
      </c>
      <c r="L15">
        <f t="shared" si="9"/>
        <v>1519</v>
      </c>
    </row>
    <row r="16" spans="1:13" x14ac:dyDescent="0.25">
      <c r="A16" t="s">
        <v>80</v>
      </c>
      <c r="B16">
        <f t="shared" si="0"/>
        <v>163</v>
      </c>
      <c r="C16">
        <f t="shared" si="1"/>
        <v>119</v>
      </c>
      <c r="D16">
        <f t="shared" si="2"/>
        <v>30</v>
      </c>
      <c r="E16">
        <f t="shared" si="3"/>
        <v>20</v>
      </c>
      <c r="F16">
        <f t="shared" si="4"/>
        <v>4</v>
      </c>
      <c r="G16">
        <f t="shared" si="5"/>
        <v>131</v>
      </c>
      <c r="H16">
        <f t="shared" si="6"/>
        <v>4</v>
      </c>
      <c r="I16">
        <f t="shared" si="7"/>
        <v>4</v>
      </c>
      <c r="K16">
        <f t="shared" si="8"/>
        <v>3794</v>
      </c>
      <c r="L16">
        <f t="shared" si="9"/>
        <v>1899</v>
      </c>
    </row>
    <row r="18" spans="1:23" x14ac:dyDescent="0.25">
      <c r="A18" s="4" t="s">
        <v>26</v>
      </c>
    </row>
    <row r="19" spans="1:23" x14ac:dyDescent="0.25">
      <c r="A19" s="5" t="s">
        <v>27</v>
      </c>
      <c r="B19" s="5" t="s">
        <v>28</v>
      </c>
      <c r="C19" s="5" t="s">
        <v>29</v>
      </c>
      <c r="D19" s="5" t="s">
        <v>30</v>
      </c>
      <c r="H19" t="s">
        <v>31</v>
      </c>
    </row>
    <row r="20" spans="1:23" x14ac:dyDescent="0.25">
      <c r="A20" t="str">
        <f>A11</f>
        <v>1KEM_5d</v>
      </c>
      <c r="B20">
        <f>W29</f>
        <v>2219</v>
      </c>
      <c r="C20">
        <f>S40</f>
        <v>1200</v>
      </c>
      <c r="W20" t="s">
        <v>32</v>
      </c>
    </row>
    <row r="21" spans="1:23" x14ac:dyDescent="0.25">
      <c r="A21" t="str">
        <f>A12</f>
        <v>3KEM_5d</v>
      </c>
      <c r="B21">
        <f>W30</f>
        <v>3453</v>
      </c>
      <c r="C21">
        <f>S41</f>
        <v>1831</v>
      </c>
      <c r="H21" t="s">
        <v>33</v>
      </c>
    </row>
    <row r="22" spans="1:23" x14ac:dyDescent="0.25">
      <c r="A22" t="str">
        <f>A13</f>
        <v>5KEM_5d</v>
      </c>
      <c r="B22">
        <f>W31</f>
        <v>4279</v>
      </c>
      <c r="C22">
        <f>S42</f>
        <v>2252</v>
      </c>
      <c r="H22">
        <f>H11</f>
        <v>2</v>
      </c>
      <c r="I22" t="s">
        <v>34</v>
      </c>
      <c r="J22" s="6" t="s">
        <v>35</v>
      </c>
      <c r="K22" s="6" t="s">
        <v>36</v>
      </c>
      <c r="L22" s="6" t="s">
        <v>37</v>
      </c>
      <c r="M22" s="6" t="s">
        <v>93</v>
      </c>
    </row>
    <row r="23" spans="1:23" x14ac:dyDescent="0.25">
      <c r="H23">
        <f>H12</f>
        <v>3</v>
      </c>
      <c r="I23">
        <f>_xlfn.CEILING.MATH(B2*C2/1088)*24</f>
        <v>120</v>
      </c>
      <c r="J23">
        <f>C11</f>
        <v>54</v>
      </c>
      <c r="K23">
        <f>F11</f>
        <v>2</v>
      </c>
      <c r="L23">
        <f>H11</f>
        <v>2</v>
      </c>
      <c r="M23">
        <v>0</v>
      </c>
      <c r="N23" t="s">
        <v>38</v>
      </c>
      <c r="O23" t="s">
        <v>39</v>
      </c>
    </row>
    <row r="24" spans="1:23" x14ac:dyDescent="0.25">
      <c r="A24" s="5" t="s">
        <v>40</v>
      </c>
      <c r="B24" s="5" t="s">
        <v>41</v>
      </c>
      <c r="C24" s="5" t="s">
        <v>42</v>
      </c>
      <c r="D24" s="5" t="s">
        <v>43</v>
      </c>
      <c r="H24">
        <f>H13</f>
        <v>4</v>
      </c>
      <c r="I24">
        <f>_xlfn.CEILING.MATH(B3*C3/1088)*24</f>
        <v>216</v>
      </c>
      <c r="J24">
        <f>C12</f>
        <v>95</v>
      </c>
      <c r="K24">
        <f>F12</f>
        <v>3</v>
      </c>
      <c r="L24">
        <f>H12</f>
        <v>3</v>
      </c>
      <c r="M24">
        <v>0</v>
      </c>
      <c r="N24">
        <f>_xlfn.CEILING.MATH(B2*2/1088)*24</f>
        <v>24</v>
      </c>
      <c r="O24">
        <f>_xlfn.CEILING.MATH(B2*C2/64)</f>
        <v>77</v>
      </c>
      <c r="P24" t="s">
        <v>44</v>
      </c>
    </row>
    <row r="25" spans="1:23" x14ac:dyDescent="0.25">
      <c r="A25" t="str">
        <f>A14</f>
        <v>1PKE_5d</v>
      </c>
      <c r="B25">
        <f>W55</f>
        <v>2423</v>
      </c>
      <c r="C25">
        <f>X70</f>
        <v>3395</v>
      </c>
      <c r="I25">
        <f>_xlfn.CEILING.MATH(B4*C4/1088)*24</f>
        <v>264</v>
      </c>
      <c r="J25">
        <f>C13</f>
        <v>118</v>
      </c>
      <c r="K25">
        <f>F13</f>
        <v>4</v>
      </c>
      <c r="L25">
        <f>H13</f>
        <v>4</v>
      </c>
      <c r="M25">
        <v>0</v>
      </c>
      <c r="N25">
        <f>_xlfn.CEILING.MATH(B3*2/1088)*24</f>
        <v>48</v>
      </c>
      <c r="O25">
        <f>_xlfn.CEILING.MATH(B3*C3/64)</f>
        <v>142</v>
      </c>
      <c r="P25">
        <f>_xlfn.CEILING.MATH(B2*2/64)</f>
        <v>16</v>
      </c>
      <c r="Q25" t="s">
        <v>94</v>
      </c>
      <c r="R25" t="s">
        <v>95</v>
      </c>
      <c r="S25" t="s">
        <v>45</v>
      </c>
    </row>
    <row r="26" spans="1:23" x14ac:dyDescent="0.25">
      <c r="A26" t="str">
        <f>A15</f>
        <v>3PKE_5d</v>
      </c>
      <c r="B26">
        <f>W56</f>
        <v>3650</v>
      </c>
      <c r="C26">
        <f>X71</f>
        <v>5076</v>
      </c>
      <c r="N26">
        <f>_xlfn.CEILING.MATH(B4*2/1088)*24</f>
        <v>48</v>
      </c>
      <c r="O26">
        <f>_xlfn.CEILING.MATH(B4*C4/64)</f>
        <v>177</v>
      </c>
      <c r="P26">
        <f>_xlfn.CEILING.MATH(B3*2/64)</f>
        <v>24</v>
      </c>
      <c r="Q26">
        <f>_xlfn.CEILING.MATH(J2*8/K2)</f>
        <v>12</v>
      </c>
      <c r="R26">
        <f>_xlfn.CEILING.MATH(L2/64)</f>
        <v>3</v>
      </c>
      <c r="S26">
        <f>K11</f>
        <v>1970</v>
      </c>
      <c r="T26" t="s">
        <v>46</v>
      </c>
    </row>
    <row r="27" spans="1:23" x14ac:dyDescent="0.25">
      <c r="A27" t="str">
        <f>A16</f>
        <v>5PKE_5d</v>
      </c>
      <c r="B27">
        <f>W57</f>
        <v>4509</v>
      </c>
      <c r="C27">
        <f>X72</f>
        <v>6301</v>
      </c>
      <c r="P27">
        <f>_xlfn.CEILING.MATH(B4*2/64)</f>
        <v>30</v>
      </c>
      <c r="Q27">
        <f>_xlfn.CEILING.MATH(J3*8/K3)</f>
        <v>15</v>
      </c>
      <c r="R27">
        <f>_xlfn.CEILING.MATH(L3/64)</f>
        <v>4</v>
      </c>
      <c r="S27">
        <f>K12</f>
        <v>3034</v>
      </c>
      <c r="T27">
        <f>_xlfn.CEILING.MATH(H2*8/64)</f>
        <v>0</v>
      </c>
      <c r="U27" t="s">
        <v>47</v>
      </c>
    </row>
    <row r="28" spans="1:23" x14ac:dyDescent="0.25">
      <c r="Q28">
        <f>_xlfn.CEILING.MATH(J4*8/K4)</f>
        <v>16</v>
      </c>
      <c r="R28">
        <f>_xlfn.CEILING.MATH(L4/64)</f>
        <v>4</v>
      </c>
      <c r="S28">
        <f>K13</f>
        <v>3770</v>
      </c>
      <c r="T28">
        <f>_xlfn.CEILING.MATH(H3*8/64)</f>
        <v>0</v>
      </c>
      <c r="U28">
        <v>24</v>
      </c>
      <c r="V28" t="s">
        <v>48</v>
      </c>
    </row>
    <row r="29" spans="1:23" x14ac:dyDescent="0.25">
      <c r="T29">
        <f>_xlfn.CEILING.MATH(H4*8/64)</f>
        <v>0</v>
      </c>
      <c r="U29">
        <v>24</v>
      </c>
      <c r="V29">
        <f>T27+2</f>
        <v>2</v>
      </c>
      <c r="W29">
        <f>V29+U28+T27+S26+P25+O24+I23+H22+8</f>
        <v>2219</v>
      </c>
    </row>
    <row r="30" spans="1:23" x14ac:dyDescent="0.25">
      <c r="U30">
        <v>24</v>
      </c>
      <c r="V30">
        <f>T28+2</f>
        <v>2</v>
      </c>
      <c r="W30">
        <f>V30+U29+T28+S27+P26+O25+I24+H23+8</f>
        <v>3453</v>
      </c>
    </row>
    <row r="31" spans="1:23" x14ac:dyDescent="0.25">
      <c r="V31">
        <f>T29+2</f>
        <v>2</v>
      </c>
      <c r="W31">
        <f>V31+U30+T29+S28+P27+O26+I25+H24+8</f>
        <v>4279</v>
      </c>
    </row>
    <row r="33" spans="8:23" x14ac:dyDescent="0.25">
      <c r="H33" t="s">
        <v>49</v>
      </c>
    </row>
    <row r="34" spans="8:23" x14ac:dyDescent="0.25">
      <c r="H34" t="s">
        <v>50</v>
      </c>
    </row>
    <row r="35" spans="8:23" x14ac:dyDescent="0.25">
      <c r="H35">
        <f>G11</f>
        <v>2</v>
      </c>
      <c r="I35" t="s">
        <v>51</v>
      </c>
      <c r="J35" t="s">
        <v>96</v>
      </c>
      <c r="K35" t="s">
        <v>53</v>
      </c>
      <c r="S35" t="s">
        <v>54</v>
      </c>
    </row>
    <row r="36" spans="8:23" x14ac:dyDescent="0.25">
      <c r="H36">
        <f>G12</f>
        <v>3</v>
      </c>
      <c r="I36">
        <f>_xlfn.CEILING.MATH(B2*D2/1088)*24</f>
        <v>96</v>
      </c>
      <c r="J36">
        <f>E11+R26</f>
        <v>9</v>
      </c>
      <c r="K36">
        <f>_xlfn.CEILING.MATH(B2*D2/64)</f>
        <v>54</v>
      </c>
      <c r="L36" t="s">
        <v>55</v>
      </c>
      <c r="M36" t="s">
        <v>97</v>
      </c>
    </row>
    <row r="37" spans="8:23" x14ac:dyDescent="0.25">
      <c r="H37">
        <f>G13</f>
        <v>4</v>
      </c>
      <c r="I37">
        <f>_xlfn.CEILING.MATH(B3*D3/1088)*24</f>
        <v>144</v>
      </c>
      <c r="K37">
        <f>_xlfn.CEILING.MATH(B3*D3/64)</f>
        <v>95</v>
      </c>
      <c r="L37">
        <f>L11</f>
        <v>987</v>
      </c>
      <c r="M37">
        <f>2*(_xlfn.CEILING.MATH(J2*8/K2))</f>
        <v>24</v>
      </c>
      <c r="N37" t="s">
        <v>56</v>
      </c>
    </row>
    <row r="38" spans="8:23" x14ac:dyDescent="0.25">
      <c r="I38">
        <f>_xlfn.CEILING.MATH(B4*D4/1088)*24</f>
        <v>168</v>
      </c>
      <c r="K38">
        <f>_xlfn.CEILING.MATH(B4*D4/64)</f>
        <v>118</v>
      </c>
      <c r="L38">
        <f>L12</f>
        <v>1519</v>
      </c>
      <c r="M38">
        <f>2*(_xlfn.CEILING.MATH(J3*8/K3))</f>
        <v>30</v>
      </c>
      <c r="N38">
        <f>F11</f>
        <v>2</v>
      </c>
      <c r="O38" t="s">
        <v>47</v>
      </c>
    </row>
    <row r="39" spans="8:23" x14ac:dyDescent="0.25">
      <c r="L39">
        <f>L13</f>
        <v>1887</v>
      </c>
      <c r="M39">
        <f>2*(_xlfn.CEILING.MATH(J4*8/K4))</f>
        <v>32</v>
      </c>
      <c r="N39">
        <f>F12</f>
        <v>3</v>
      </c>
      <c r="O39">
        <v>24</v>
      </c>
      <c r="P39" t="s">
        <v>57</v>
      </c>
    </row>
    <row r="40" spans="8:23" x14ac:dyDescent="0.25">
      <c r="N40">
        <f>F13</f>
        <v>4</v>
      </c>
      <c r="O40">
        <v>24</v>
      </c>
      <c r="P40">
        <f>F11+G11</f>
        <v>4</v>
      </c>
      <c r="S40">
        <f>P40+O39+N38+L37+K36+I36+H35+7+M37</f>
        <v>1200</v>
      </c>
    </row>
    <row r="41" spans="8:23" x14ac:dyDescent="0.25">
      <c r="O41">
        <v>24</v>
      </c>
      <c r="P41">
        <f>F12+G12</f>
        <v>6</v>
      </c>
      <c r="S41">
        <f>P41+O40+N39+L38+K37+I37+H36+7+M38</f>
        <v>1831</v>
      </c>
    </row>
    <row r="42" spans="8:23" x14ac:dyDescent="0.25">
      <c r="P42">
        <f>F13+G13</f>
        <v>8</v>
      </c>
      <c r="S42">
        <f>P42+O41+N40+L39+K38+I38+H37+7+M39</f>
        <v>2252</v>
      </c>
    </row>
    <row r="44" spans="8:23" x14ac:dyDescent="0.25">
      <c r="H44" t="s">
        <v>45</v>
      </c>
    </row>
    <row r="45" spans="8:23" x14ac:dyDescent="0.25">
      <c r="H45" t="s">
        <v>58</v>
      </c>
    </row>
    <row r="46" spans="8:23" x14ac:dyDescent="0.25">
      <c r="H46">
        <f>_xlfn.CEILING.MATH(F5*8/64)</f>
        <v>58</v>
      </c>
      <c r="I46" t="s">
        <v>59</v>
      </c>
      <c r="J46" t="s">
        <v>60</v>
      </c>
    </row>
    <row r="47" spans="8:23" x14ac:dyDescent="0.25">
      <c r="H47">
        <f>_xlfn.CEILING.MATH(F6*8/64)</f>
        <v>98</v>
      </c>
      <c r="I47">
        <v>24</v>
      </c>
      <c r="J47">
        <f>_xlfn.CEILING.MATH(B5*C5/1088)*24</f>
        <v>120</v>
      </c>
      <c r="K47" t="s">
        <v>61</v>
      </c>
      <c r="L47" t="s">
        <v>39</v>
      </c>
      <c r="W47" t="s">
        <v>32</v>
      </c>
    </row>
    <row r="48" spans="8:23" x14ac:dyDescent="0.25">
      <c r="H48">
        <f>_xlfn.CEILING.MATH(F7*8/64)</f>
        <v>123</v>
      </c>
      <c r="I48">
        <v>24</v>
      </c>
      <c r="J48">
        <f>_xlfn.CEILING.MATH(B6*C6/1088)*24</f>
        <v>216</v>
      </c>
      <c r="K48">
        <f>_xlfn.CEILING.MATH(B5*2/1088)*24</f>
        <v>24</v>
      </c>
      <c r="L48">
        <f>_xlfn.CEILING.MATH(B5*C5/64)</f>
        <v>80</v>
      </c>
      <c r="N48" t="s">
        <v>62</v>
      </c>
    </row>
    <row r="49" spans="8:23" x14ac:dyDescent="0.25">
      <c r="I49">
        <f>_xlfn.CEILING.MATH(B7*C7/1088)*24</f>
        <v>240</v>
      </c>
      <c r="J49">
        <f>_xlfn.CEILING.MATH(B7*C7/1088)*24</f>
        <v>240</v>
      </c>
      <c r="K49">
        <f>_xlfn.CEILING.MATH(B6*2/1088)*24</f>
        <v>48</v>
      </c>
      <c r="L49">
        <f>_xlfn.CEILING.MATH(B6*C6/64)</f>
        <v>142</v>
      </c>
      <c r="N49">
        <f>_xlfn.CEILING.MATH(B5*2/64)</f>
        <v>16</v>
      </c>
      <c r="O49" t="s">
        <v>45</v>
      </c>
    </row>
    <row r="50" spans="8:23" x14ac:dyDescent="0.25">
      <c r="K50">
        <f>_xlfn.CEILING.MATH(B7*2/1088)*24</f>
        <v>48</v>
      </c>
      <c r="L50">
        <f>_xlfn.CEILING.MATH(B7*C7/64)</f>
        <v>163</v>
      </c>
      <c r="N50">
        <f>_xlfn.CEILING.MATH(B6*2/64)</f>
        <v>24</v>
      </c>
      <c r="O50">
        <f>K14</f>
        <v>2042</v>
      </c>
      <c r="P50" t="s">
        <v>46</v>
      </c>
    </row>
    <row r="51" spans="8:23" x14ac:dyDescent="0.25">
      <c r="N51">
        <f>_xlfn.CEILING.MATH(B7*2/64)</f>
        <v>30</v>
      </c>
      <c r="O51">
        <f>K15</f>
        <v>3034</v>
      </c>
      <c r="P51">
        <f>E14+I14</f>
        <v>11</v>
      </c>
      <c r="S51" t="s">
        <v>47</v>
      </c>
    </row>
    <row r="52" spans="8:23" x14ac:dyDescent="0.25">
      <c r="O52">
        <f>K16</f>
        <v>3794</v>
      </c>
      <c r="P52">
        <f>E15+I15</f>
        <v>13</v>
      </c>
      <c r="S52">
        <v>24</v>
      </c>
      <c r="T52" t="s">
        <v>63</v>
      </c>
    </row>
    <row r="53" spans="8:23" x14ac:dyDescent="0.25">
      <c r="P53">
        <f>E16+I16</f>
        <v>24</v>
      </c>
      <c r="S53">
        <v>24</v>
      </c>
      <c r="T53">
        <f>P51+F14</f>
        <v>13</v>
      </c>
      <c r="U53" t="s">
        <v>64</v>
      </c>
    </row>
    <row r="54" spans="8:23" x14ac:dyDescent="0.25">
      <c r="S54">
        <v>24</v>
      </c>
      <c r="T54">
        <f>P52+F15</f>
        <v>16</v>
      </c>
      <c r="U54">
        <v>24</v>
      </c>
      <c r="V54" t="s">
        <v>65</v>
      </c>
    </row>
    <row r="55" spans="8:23" x14ac:dyDescent="0.25">
      <c r="T55">
        <f>P53+F16</f>
        <v>28</v>
      </c>
      <c r="U55">
        <v>24</v>
      </c>
      <c r="V55">
        <f>I61</f>
        <v>0</v>
      </c>
      <c r="W55">
        <f>V55+U54+T53+S52+P51+O50+N49+L48+K48+J47+H46+11</f>
        <v>2423</v>
      </c>
    </row>
    <row r="56" spans="8:23" x14ac:dyDescent="0.25">
      <c r="U56">
        <v>24</v>
      </c>
      <c r="V56">
        <f>I62</f>
        <v>0</v>
      </c>
      <c r="W56">
        <f>V56+U55+T54+S53+P52+O51+N50+L49+K49+J48+H47+11</f>
        <v>3650</v>
      </c>
    </row>
    <row r="57" spans="8:23" x14ac:dyDescent="0.25">
      <c r="V57">
        <f>I63</f>
        <v>0</v>
      </c>
      <c r="W57">
        <f>V57+U56+T55+S54+P53+O52+N51+L50+K50+J49+H48+11</f>
        <v>4509</v>
      </c>
    </row>
    <row r="58" spans="8:23" x14ac:dyDescent="0.25">
      <c r="H58" t="s">
        <v>55</v>
      </c>
    </row>
    <row r="59" spans="8:23" x14ac:dyDescent="0.25">
      <c r="H59" t="s">
        <v>50</v>
      </c>
    </row>
    <row r="60" spans="8:23" x14ac:dyDescent="0.25">
      <c r="H60">
        <f>_xlfn.CEILING.MATH(G5*8/64)</f>
        <v>62</v>
      </c>
      <c r="I60" t="s">
        <v>66</v>
      </c>
    </row>
    <row r="61" spans="8:23" x14ac:dyDescent="0.25">
      <c r="H61">
        <f>_xlfn.CEILING.MATH(G6*8/64)</f>
        <v>104</v>
      </c>
      <c r="I61">
        <f>_xlfn.CEILING.MATH(I5*8/64)</f>
        <v>0</v>
      </c>
      <c r="J61" t="s">
        <v>67</v>
      </c>
    </row>
    <row r="62" spans="8:23" x14ac:dyDescent="0.25">
      <c r="H62">
        <f>_xlfn.CEILING.MATH(G7*8/64)</f>
        <v>131</v>
      </c>
      <c r="I62">
        <f>_xlfn.CEILING.MATH(I6*8/64)</f>
        <v>0</v>
      </c>
      <c r="J62">
        <f>L14+M37</f>
        <v>1047</v>
      </c>
      <c r="K62" t="s">
        <v>68</v>
      </c>
    </row>
    <row r="63" spans="8:23" x14ac:dyDescent="0.25">
      <c r="I63">
        <f>_xlfn.CEILING.MATH(I7*8/64)</f>
        <v>0</v>
      </c>
      <c r="J63">
        <f>L15+M38</f>
        <v>1549</v>
      </c>
      <c r="K63">
        <f>E14+I14</f>
        <v>11</v>
      </c>
      <c r="L63" t="s">
        <v>69</v>
      </c>
      <c r="N63" t="s">
        <v>70</v>
      </c>
    </row>
    <row r="64" spans="8:23" x14ac:dyDescent="0.25">
      <c r="J64">
        <f>L16+M39</f>
        <v>1931</v>
      </c>
      <c r="K64">
        <f>E15+I15</f>
        <v>13</v>
      </c>
      <c r="L64">
        <v>24</v>
      </c>
      <c r="N64">
        <f>_xlfn.CEILING.MATH(F5*8/64)</f>
        <v>58</v>
      </c>
      <c r="O64" t="s">
        <v>60</v>
      </c>
      <c r="P64" t="s">
        <v>61</v>
      </c>
    </row>
    <row r="65" spans="11:24" x14ac:dyDescent="0.25">
      <c r="K65">
        <f>E16+I16</f>
        <v>24</v>
      </c>
      <c r="L65">
        <v>24</v>
      </c>
      <c r="N65">
        <f>_xlfn.CEILING.MATH(F6*8/64)</f>
        <v>98</v>
      </c>
      <c r="O65">
        <f>_xlfn.CEILING.MATH(B5*C5/1088)*24</f>
        <v>120</v>
      </c>
      <c r="P65">
        <f>_xlfn.CEILING.MATH(B5*2/64)</f>
        <v>16</v>
      </c>
      <c r="S65" t="s">
        <v>71</v>
      </c>
    </row>
    <row r="66" spans="11:24" x14ac:dyDescent="0.25">
      <c r="L66">
        <v>24</v>
      </c>
      <c r="N66">
        <f>_xlfn.CEILING.MATH(F7*8/64)</f>
        <v>123</v>
      </c>
      <c r="O66">
        <f>_xlfn.CEILING.MATH(B6*C6/1088)*24</f>
        <v>216</v>
      </c>
      <c r="P66">
        <f>_xlfn.CEILING.MATH(B6*2/64)</f>
        <v>24</v>
      </c>
      <c r="S66">
        <f>P65</f>
        <v>16</v>
      </c>
      <c r="T66" t="s">
        <v>72</v>
      </c>
      <c r="X66" t="s">
        <v>54</v>
      </c>
    </row>
    <row r="67" spans="11:24" x14ac:dyDescent="0.25">
      <c r="O67">
        <f>_xlfn.CEILING.MATH(B7*C7/1088)*24</f>
        <v>240</v>
      </c>
      <c r="P67">
        <f>_xlfn.CEILING.MATH(B7*2/64)</f>
        <v>30</v>
      </c>
      <c r="S67">
        <f>P66</f>
        <v>24</v>
      </c>
      <c r="T67">
        <f>K14</f>
        <v>2042</v>
      </c>
      <c r="U67" t="s">
        <v>69</v>
      </c>
    </row>
    <row r="68" spans="11:24" x14ac:dyDescent="0.25">
      <c r="S68">
        <f>P67</f>
        <v>30</v>
      </c>
      <c r="T68">
        <f>K15</f>
        <v>3034</v>
      </c>
      <c r="U68">
        <v>24</v>
      </c>
      <c r="V68" t="s">
        <v>73</v>
      </c>
    </row>
    <row r="69" spans="11:24" x14ac:dyDescent="0.25">
      <c r="T69">
        <f>K16</f>
        <v>3794</v>
      </c>
      <c r="U69">
        <v>24</v>
      </c>
      <c r="V69">
        <v>24</v>
      </c>
      <c r="W69" t="s">
        <v>74</v>
      </c>
    </row>
    <row r="70" spans="11:24" x14ac:dyDescent="0.25">
      <c r="U70">
        <v>24</v>
      </c>
      <c r="V70">
        <v>24</v>
      </c>
      <c r="W70">
        <f>J5*8/64</f>
        <v>2</v>
      </c>
      <c r="X70">
        <f>W70+V69+U68+T67+S66+O65+N64+J62+I61+H60</f>
        <v>3395</v>
      </c>
    </row>
    <row r="71" spans="11:24" x14ac:dyDescent="0.25">
      <c r="V71">
        <v>24</v>
      </c>
      <c r="W71">
        <f>J6*8/64</f>
        <v>3</v>
      </c>
      <c r="X71">
        <f>W71+V70+U69+T68+S67+O66+N65+J63+I62+H61</f>
        <v>5076</v>
      </c>
    </row>
    <row r="72" spans="11:24" x14ac:dyDescent="0.25">
      <c r="W72">
        <f>J7*8/64</f>
        <v>4</v>
      </c>
      <c r="X72">
        <f>W72+V71+U70+T69+S68+O67+N66+J64+I63+H62</f>
        <v>6301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="120" zoomScaleNormal="120" workbookViewId="0">
      <selection sqref="A1:XFD1048576"/>
    </sheetView>
  </sheetViews>
  <sheetFormatPr defaultRowHeight="15" x14ac:dyDescent="0.25"/>
  <cols>
    <col min="1" max="1" width="13.85546875" customWidth="1"/>
    <col min="2" max="2" width="8.5703125" customWidth="1"/>
    <col min="3" max="3" width="8.5703125" style="8" customWidth="1"/>
    <col min="4" max="4" width="8.5703125" customWidth="1"/>
    <col min="5" max="5" width="8.5703125" style="8" customWidth="1"/>
    <col min="6" max="6" width="8.5703125" customWidth="1"/>
    <col min="7" max="7" width="17" customWidth="1"/>
    <col min="8" max="8" width="9.28515625" style="9" customWidth="1"/>
    <col min="9" max="1025" width="8.5703125" customWidth="1"/>
  </cols>
  <sheetData>
    <row r="1" spans="1:9" s="13" customFormat="1" x14ac:dyDescent="0.25">
      <c r="A1" s="10" t="s">
        <v>98</v>
      </c>
      <c r="B1" s="10" t="s">
        <v>99</v>
      </c>
      <c r="C1" s="11" t="str">
        <f>Cycle_estimation!A20</f>
        <v>1KEM_0d</v>
      </c>
      <c r="D1" s="10" t="s">
        <v>99</v>
      </c>
      <c r="E1" s="11" t="str">
        <f>Cycle_estimation_with_XEf!A20</f>
        <v>1KEM_5d</v>
      </c>
      <c r="F1" s="10" t="s">
        <v>99</v>
      </c>
      <c r="G1" s="10"/>
      <c r="H1" s="12" t="s">
        <v>100</v>
      </c>
    </row>
    <row r="2" spans="1:9" x14ac:dyDescent="0.25">
      <c r="A2" s="14" t="s">
        <v>101</v>
      </c>
      <c r="B2" t="s">
        <v>99</v>
      </c>
      <c r="C2" s="8">
        <v>618</v>
      </c>
      <c r="D2" t="s">
        <v>99</v>
      </c>
      <c r="E2" s="8">
        <v>490</v>
      </c>
      <c r="F2" t="s">
        <v>99</v>
      </c>
      <c r="G2" t="str">
        <f t="shared" ref="G2:G10" si="0">IF(H2&gt;0,"\textcolor{red}{+","\textcolor{OliveGreen}{")</f>
        <v>\textcolor{OliveGreen}{</v>
      </c>
      <c r="H2" s="9">
        <f t="shared" ref="H2:H19" si="1">(E2-C2)/C2</f>
        <v>-0.20711974110032363</v>
      </c>
      <c r="I2" t="s">
        <v>102</v>
      </c>
    </row>
    <row r="3" spans="1:9" x14ac:dyDescent="0.25">
      <c r="A3" s="14" t="s">
        <v>103</v>
      </c>
      <c r="B3" t="s">
        <v>99</v>
      </c>
      <c r="C3" s="8">
        <v>634</v>
      </c>
      <c r="D3" t="s">
        <v>99</v>
      </c>
      <c r="E3" s="8">
        <v>445</v>
      </c>
      <c r="F3" t="s">
        <v>99</v>
      </c>
      <c r="G3" t="str">
        <f t="shared" si="0"/>
        <v>\textcolor{OliveGreen}{</v>
      </c>
      <c r="H3" s="9">
        <f t="shared" si="1"/>
        <v>-0.29810725552050471</v>
      </c>
      <c r="I3" t="s">
        <v>102</v>
      </c>
    </row>
    <row r="4" spans="1:9" x14ac:dyDescent="0.25">
      <c r="A4" s="14" t="s">
        <v>104</v>
      </c>
      <c r="B4" t="s">
        <v>99</v>
      </c>
      <c r="C4" s="8">
        <v>16</v>
      </c>
      <c r="D4" t="s">
        <v>99</v>
      </c>
      <c r="E4" s="8">
        <v>16</v>
      </c>
      <c r="F4" t="s">
        <v>99</v>
      </c>
      <c r="G4" t="str">
        <f t="shared" si="0"/>
        <v>\textcolor{OliveGreen}{</v>
      </c>
      <c r="H4" s="9">
        <f t="shared" si="1"/>
        <v>0</v>
      </c>
      <c r="I4" t="s">
        <v>102</v>
      </c>
    </row>
    <row r="5" spans="1:9" x14ac:dyDescent="0.25">
      <c r="A5" s="14" t="s">
        <v>105</v>
      </c>
      <c r="B5" t="s">
        <v>99</v>
      </c>
      <c r="C5" s="8">
        <v>682</v>
      </c>
      <c r="D5" t="s">
        <v>99</v>
      </c>
      <c r="E5" s="8">
        <v>549</v>
      </c>
      <c r="F5" t="s">
        <v>99</v>
      </c>
      <c r="G5" t="str">
        <f t="shared" si="0"/>
        <v>\textcolor{OliveGreen}{</v>
      </c>
      <c r="H5" s="9">
        <f t="shared" si="1"/>
        <v>-0.19501466275659823</v>
      </c>
      <c r="I5" t="s">
        <v>102</v>
      </c>
    </row>
    <row r="6" spans="1:9" x14ac:dyDescent="0.25">
      <c r="A6" t="s">
        <v>106</v>
      </c>
      <c r="B6" t="s">
        <v>99</v>
      </c>
      <c r="C6" s="8">
        <f>Cycle_estimation!B20</f>
        <v>2985</v>
      </c>
      <c r="D6" t="s">
        <v>99</v>
      </c>
      <c r="E6" s="8">
        <f>Cycle_estimation_with_XEf!B20</f>
        <v>2219</v>
      </c>
      <c r="F6" t="s">
        <v>99</v>
      </c>
      <c r="G6" t="str">
        <f t="shared" si="0"/>
        <v>\textcolor{OliveGreen}{</v>
      </c>
      <c r="H6" s="9">
        <f t="shared" si="1"/>
        <v>-0.25661641541038527</v>
      </c>
      <c r="I6" t="s">
        <v>102</v>
      </c>
    </row>
    <row r="7" spans="1:9" x14ac:dyDescent="0.25">
      <c r="A7" t="s">
        <v>107</v>
      </c>
      <c r="B7" t="s">
        <v>99</v>
      </c>
      <c r="C7" s="8">
        <f>Cycle_estimation!C20</f>
        <v>1480</v>
      </c>
      <c r="D7" t="s">
        <v>99</v>
      </c>
      <c r="E7" s="8">
        <f>Cycle_estimation_with_XEf!C20</f>
        <v>1200</v>
      </c>
      <c r="F7" t="s">
        <v>99</v>
      </c>
      <c r="G7" t="str">
        <f t="shared" si="0"/>
        <v>\textcolor{OliveGreen}{</v>
      </c>
      <c r="H7" s="9">
        <f t="shared" si="1"/>
        <v>-0.1891891891891892</v>
      </c>
      <c r="I7" t="str">
        <f>I6</f>
        <v>}\\</v>
      </c>
    </row>
    <row r="8" spans="1:9" x14ac:dyDescent="0.25">
      <c r="A8" t="s">
        <v>108</v>
      </c>
      <c r="B8" t="s">
        <v>99</v>
      </c>
      <c r="C8" s="8">
        <v>45521</v>
      </c>
      <c r="D8" t="s">
        <v>99</v>
      </c>
      <c r="E8" s="15"/>
      <c r="F8" t="s">
        <v>99</v>
      </c>
      <c r="G8" t="str">
        <f t="shared" si="0"/>
        <v>\textcolor{OliveGreen}{</v>
      </c>
      <c r="H8" s="9">
        <f t="shared" si="1"/>
        <v>-1</v>
      </c>
      <c r="I8" t="str">
        <f>I7</f>
        <v>}\\</v>
      </c>
    </row>
    <row r="9" spans="1:9" x14ac:dyDescent="0.25">
      <c r="A9" t="s">
        <v>109</v>
      </c>
      <c r="B9" t="s">
        <v>99</v>
      </c>
      <c r="C9" s="8">
        <v>10032</v>
      </c>
      <c r="D9" t="s">
        <v>99</v>
      </c>
      <c r="E9" s="15"/>
      <c r="F9" t="s">
        <v>99</v>
      </c>
      <c r="G9" t="str">
        <f t="shared" si="0"/>
        <v>\textcolor{OliveGreen}{</v>
      </c>
      <c r="H9" s="9">
        <f t="shared" si="1"/>
        <v>-1</v>
      </c>
      <c r="I9" t="str">
        <f>I8</f>
        <v>}\\</v>
      </c>
    </row>
    <row r="10" spans="1:9" x14ac:dyDescent="0.25">
      <c r="A10" t="s">
        <v>110</v>
      </c>
      <c r="B10" t="s">
        <v>99</v>
      </c>
      <c r="C10" s="8">
        <v>2</v>
      </c>
      <c r="D10" t="s">
        <v>99</v>
      </c>
      <c r="E10" s="15"/>
      <c r="F10" t="s">
        <v>99</v>
      </c>
      <c r="G10" t="str">
        <f t="shared" si="0"/>
        <v>\textcolor{OliveGreen}{</v>
      </c>
      <c r="H10" s="9">
        <f t="shared" si="1"/>
        <v>-1</v>
      </c>
      <c r="I10" t="str">
        <f>I9</f>
        <v>}\\</v>
      </c>
    </row>
    <row r="11" spans="1:9" x14ac:dyDescent="0.25">
      <c r="A11" t="s">
        <v>111</v>
      </c>
      <c r="B11" t="s">
        <v>99</v>
      </c>
      <c r="C11" s="8">
        <v>260</v>
      </c>
      <c r="D11" t="s">
        <v>99</v>
      </c>
      <c r="E11" s="15"/>
      <c r="F11" t="s">
        <v>99</v>
      </c>
      <c r="G11" t="str">
        <f>IF(H11&gt;0,"\textcolor{OliveGreen}{+","\textcolor{red}{")</f>
        <v>\textcolor{red}{</v>
      </c>
      <c r="H11" s="9">
        <f t="shared" si="1"/>
        <v>-1</v>
      </c>
      <c r="I11" t="str">
        <f>I10</f>
        <v>}\\</v>
      </c>
    </row>
    <row r="12" spans="1:9" x14ac:dyDescent="0.25">
      <c r="A12" t="s">
        <v>112</v>
      </c>
      <c r="B12" t="s">
        <v>99</v>
      </c>
      <c r="C12" s="16">
        <f>C6/(C$11)</f>
        <v>11.48076923076923</v>
      </c>
      <c r="D12" t="s">
        <v>99</v>
      </c>
      <c r="E12" s="17">
        <v>1</v>
      </c>
      <c r="F12" t="s">
        <v>99</v>
      </c>
      <c r="G12" t="str">
        <f>IF(H12&gt;0,"\textcolor{red}{+","\textcolor{OliveGreen}{")</f>
        <v>\textcolor{OliveGreen}{</v>
      </c>
      <c r="H12" s="9">
        <f t="shared" si="1"/>
        <v>-0.91289782244556117</v>
      </c>
      <c r="I12" t="str">
        <f>I9</f>
        <v>}\\</v>
      </c>
    </row>
    <row r="13" spans="1:9" x14ac:dyDescent="0.25">
      <c r="A13" t="s">
        <v>113</v>
      </c>
      <c r="B13" t="s">
        <v>99</v>
      </c>
      <c r="C13" s="16">
        <f>C7/(C$11)</f>
        <v>5.6923076923076925</v>
      </c>
      <c r="D13" t="s">
        <v>99</v>
      </c>
      <c r="E13" s="17">
        <v>1</v>
      </c>
      <c r="F13" t="s">
        <v>99</v>
      </c>
      <c r="G13" t="str">
        <f>IF(H13&gt;0,"\textcolor{red}{+","\textcolor{OliveGreen}{")</f>
        <v>\textcolor{OliveGreen}{</v>
      </c>
      <c r="H13" s="9">
        <f t="shared" si="1"/>
        <v>-0.82432432432432434</v>
      </c>
      <c r="I13" t="str">
        <f>I12</f>
        <v>}\\</v>
      </c>
    </row>
    <row r="14" spans="1:9" x14ac:dyDescent="0.25">
      <c r="A14" t="s">
        <v>114</v>
      </c>
      <c r="B14" t="s">
        <v>99</v>
      </c>
      <c r="C14" s="8">
        <f>Results!B16</f>
        <v>33036</v>
      </c>
      <c r="D14" t="s">
        <v>99</v>
      </c>
      <c r="E14" s="8">
        <f>Results!B24</f>
        <v>24192</v>
      </c>
      <c r="F14" t="s">
        <v>99</v>
      </c>
      <c r="G14" t="str">
        <f>IF(H14&gt;0,"\textcolor{red}{+","\textcolor{OliveGreen}{")</f>
        <v>\textcolor{OliveGreen}{</v>
      </c>
      <c r="H14" s="9">
        <f t="shared" si="1"/>
        <v>-0.26770795495822741</v>
      </c>
      <c r="I14" t="str">
        <f>I13</f>
        <v>}\\</v>
      </c>
    </row>
    <row r="15" spans="1:9" x14ac:dyDescent="0.25">
      <c r="A15" t="s">
        <v>115</v>
      </c>
      <c r="B15" t="s">
        <v>99</v>
      </c>
      <c r="C15" s="8">
        <f>Results!E16</f>
        <v>74321</v>
      </c>
      <c r="D15" t="s">
        <v>99</v>
      </c>
      <c r="E15" s="8">
        <f>Results!E24</f>
        <v>54985</v>
      </c>
      <c r="F15" t="s">
        <v>99</v>
      </c>
      <c r="G15" t="str">
        <f>IF(H15&gt;0,"\textcolor{red}{+","\textcolor{OliveGreen}{")</f>
        <v>\textcolor{OliveGreen}{</v>
      </c>
      <c r="H15" s="9">
        <f t="shared" si="1"/>
        <v>-0.26016872754672299</v>
      </c>
      <c r="I15" t="str">
        <f>I14</f>
        <v>}\\</v>
      </c>
    </row>
    <row r="16" spans="1:9" x14ac:dyDescent="0.25">
      <c r="A16" t="s">
        <v>116</v>
      </c>
      <c r="B16" t="s">
        <v>99</v>
      </c>
      <c r="C16" s="8">
        <f>Results!D16</f>
        <v>4</v>
      </c>
      <c r="D16" t="s">
        <v>99</v>
      </c>
      <c r="E16" s="8">
        <f>Results!D24</f>
        <v>4</v>
      </c>
      <c r="F16" t="s">
        <v>99</v>
      </c>
      <c r="G16" t="str">
        <f>IF(H16&gt;0,"\textcolor{red}{+","\textcolor{OliveGreen}{")</f>
        <v>\textcolor{OliveGreen}{</v>
      </c>
      <c r="H16" s="9">
        <f t="shared" si="1"/>
        <v>0</v>
      </c>
      <c r="I16" t="str">
        <f>I15</f>
        <v>}\\</v>
      </c>
    </row>
    <row r="17" spans="1:9" x14ac:dyDescent="0.25">
      <c r="A17" t="s">
        <v>117</v>
      </c>
      <c r="B17" t="s">
        <v>99</v>
      </c>
      <c r="C17" s="8">
        <f>Results!F16</f>
        <v>192.42</v>
      </c>
      <c r="D17" t="s">
        <v>99</v>
      </c>
      <c r="E17" s="8">
        <f>Results!F24</f>
        <v>219.88</v>
      </c>
      <c r="F17" t="s">
        <v>99</v>
      </c>
      <c r="G17" t="str">
        <f>IF(H17&gt;0,"\textcolor{OliveGreen}{+","\textcolor{red}{")</f>
        <v>\textcolor{OliveGreen}{+</v>
      </c>
      <c r="H17" s="9">
        <f t="shared" si="1"/>
        <v>0.14270865814364417</v>
      </c>
      <c r="I17" t="str">
        <f>I16</f>
        <v>}\\</v>
      </c>
    </row>
    <row r="18" spans="1:9" x14ac:dyDescent="0.25">
      <c r="A18" t="s">
        <v>112</v>
      </c>
      <c r="B18" t="s">
        <v>99</v>
      </c>
      <c r="C18" s="16">
        <f>C6/(C$17)</f>
        <v>15.512940442781417</v>
      </c>
      <c r="D18" t="s">
        <v>99</v>
      </c>
      <c r="E18" s="16">
        <f>E6/E$17</f>
        <v>10.091868291795524</v>
      </c>
      <c r="F18" t="s">
        <v>99</v>
      </c>
      <c r="G18" t="str">
        <f>IF(H18&gt;0,"\textcolor{red}{+","\textcolor{OliveGreen}{")</f>
        <v>\textcolor{OliveGreen}{</v>
      </c>
      <c r="H18" s="9">
        <f t="shared" si="1"/>
        <v>-0.34945484197410565</v>
      </c>
      <c r="I18" t="str">
        <f>I15</f>
        <v>}\\</v>
      </c>
    </row>
    <row r="19" spans="1:9" x14ac:dyDescent="0.25">
      <c r="A19" t="s">
        <v>113</v>
      </c>
      <c r="B19" t="s">
        <v>99</v>
      </c>
      <c r="C19" s="16">
        <f>C7/(C$17)</f>
        <v>7.6915081592350072</v>
      </c>
      <c r="D19" t="s">
        <v>99</v>
      </c>
      <c r="E19" s="16">
        <f>E7/E$17</f>
        <v>5.4575222848826632</v>
      </c>
      <c r="F19" t="s">
        <v>99</v>
      </c>
      <c r="G19" t="str">
        <f>IF(H19&gt;0,"\textcolor{red}{+","\textcolor{OliveGreen}{")</f>
        <v>\textcolor{OliveGreen}{</v>
      </c>
      <c r="H19" s="9">
        <f t="shared" si="1"/>
        <v>-0.29044835266410673</v>
      </c>
      <c r="I19" t="str">
        <f>I18</f>
        <v>}\\</v>
      </c>
    </row>
    <row r="20" spans="1:9" s="13" customFormat="1" x14ac:dyDescent="0.25">
      <c r="A20" s="10" t="s">
        <v>98</v>
      </c>
      <c r="B20" s="10" t="s">
        <v>99</v>
      </c>
      <c r="C20" s="11" t="str">
        <f>Cycle_estimation!A21</f>
        <v>3KEM_0d</v>
      </c>
      <c r="D20" s="10" t="s">
        <v>99</v>
      </c>
      <c r="E20" s="11" t="str">
        <f>Cycle_estimation_with_XEf!A21</f>
        <v>3KEM_5d</v>
      </c>
      <c r="F20" s="10" t="s">
        <v>99</v>
      </c>
      <c r="G20"/>
      <c r="H20" s="12" t="s">
        <v>100</v>
      </c>
      <c r="I20" s="10"/>
    </row>
    <row r="21" spans="1:9" x14ac:dyDescent="0.25">
      <c r="A21" s="14" t="s">
        <v>101</v>
      </c>
      <c r="B21" t="s">
        <v>99</v>
      </c>
      <c r="C21" s="8">
        <v>786</v>
      </c>
      <c r="D21" t="s">
        <v>99</v>
      </c>
      <c r="E21" s="8">
        <v>756</v>
      </c>
      <c r="F21" t="s">
        <v>99</v>
      </c>
      <c r="G21" t="str">
        <f t="shared" ref="G21:G29" si="2">IF(H21&gt;0,"\textcolor{red}{+","\textcolor{OliveGreen}{")</f>
        <v>\textcolor{OliveGreen}{</v>
      </c>
      <c r="H21" s="9">
        <f t="shared" ref="H21:H38" si="3">(E21-C21)/C21</f>
        <v>-3.8167938931297711E-2</v>
      </c>
      <c r="I21" t="s">
        <v>102</v>
      </c>
    </row>
    <row r="22" spans="1:9" x14ac:dyDescent="0.25">
      <c r="A22" s="14" t="s">
        <v>103</v>
      </c>
      <c r="B22" t="s">
        <v>99</v>
      </c>
      <c r="C22" s="8">
        <v>909</v>
      </c>
      <c r="D22" t="s">
        <v>99</v>
      </c>
      <c r="E22" s="8">
        <v>780</v>
      </c>
      <c r="F22" t="s">
        <v>99</v>
      </c>
      <c r="G22" t="str">
        <f t="shared" si="2"/>
        <v>\textcolor{OliveGreen}{</v>
      </c>
      <c r="H22" s="9">
        <f t="shared" si="3"/>
        <v>-0.14191419141914191</v>
      </c>
      <c r="I22" t="s">
        <v>102</v>
      </c>
    </row>
    <row r="23" spans="1:9" x14ac:dyDescent="0.25">
      <c r="A23" s="14" t="s">
        <v>104</v>
      </c>
      <c r="B23" t="s">
        <v>99</v>
      </c>
      <c r="C23" s="8">
        <v>24</v>
      </c>
      <c r="D23" t="s">
        <v>99</v>
      </c>
      <c r="E23" s="8">
        <v>24</v>
      </c>
      <c r="F23" t="s">
        <v>99</v>
      </c>
      <c r="G23" t="str">
        <f t="shared" si="2"/>
        <v>\textcolor{OliveGreen}{</v>
      </c>
      <c r="H23" s="9">
        <f t="shared" si="3"/>
        <v>0</v>
      </c>
      <c r="I23" t="s">
        <v>102</v>
      </c>
    </row>
    <row r="24" spans="1:9" x14ac:dyDescent="0.25">
      <c r="A24" s="14" t="s">
        <v>105</v>
      </c>
      <c r="B24" t="s">
        <v>99</v>
      </c>
      <c r="C24" s="8">
        <v>981</v>
      </c>
      <c r="D24" t="s">
        <v>99</v>
      </c>
      <c r="E24" s="8">
        <v>859</v>
      </c>
      <c r="F24" t="s">
        <v>99</v>
      </c>
      <c r="G24" t="str">
        <f t="shared" si="2"/>
        <v>\textcolor{OliveGreen}{</v>
      </c>
      <c r="H24" s="9">
        <f t="shared" si="3"/>
        <v>-0.12436289500509684</v>
      </c>
      <c r="I24" t="s">
        <v>102</v>
      </c>
    </row>
    <row r="25" spans="1:9" x14ac:dyDescent="0.25">
      <c r="A25" t="s">
        <v>106</v>
      </c>
      <c r="B25" t="s">
        <v>99</v>
      </c>
      <c r="C25" s="8">
        <f>Cycle_estimation!B21</f>
        <v>3862</v>
      </c>
      <c r="D25" t="s">
        <v>99</v>
      </c>
      <c r="E25" s="8">
        <f>Cycle_estimation_with_XEf!B21</f>
        <v>3453</v>
      </c>
      <c r="F25" t="s">
        <v>99</v>
      </c>
      <c r="G25" t="str">
        <f t="shared" si="2"/>
        <v>\textcolor{OliveGreen}{</v>
      </c>
      <c r="H25" s="9">
        <f t="shared" si="3"/>
        <v>-0.10590367685137235</v>
      </c>
      <c r="I25" t="s">
        <v>102</v>
      </c>
    </row>
    <row r="26" spans="1:9" x14ac:dyDescent="0.25">
      <c r="A26" t="s">
        <v>107</v>
      </c>
      <c r="B26" t="s">
        <v>99</v>
      </c>
      <c r="C26" s="8">
        <f>Cycle_estimation!C21</f>
        <v>1901</v>
      </c>
      <c r="D26" t="s">
        <v>99</v>
      </c>
      <c r="E26" s="8">
        <f>Cycle_estimation_with_XEf!C21</f>
        <v>1831</v>
      </c>
      <c r="F26" t="s">
        <v>99</v>
      </c>
      <c r="G26" t="str">
        <f t="shared" si="2"/>
        <v>\textcolor{OliveGreen}{</v>
      </c>
      <c r="H26" s="9">
        <f t="shared" si="3"/>
        <v>-3.682272488164124E-2</v>
      </c>
      <c r="I26" t="s">
        <v>102</v>
      </c>
    </row>
    <row r="27" spans="1:9" x14ac:dyDescent="0.25">
      <c r="A27" t="s">
        <v>118</v>
      </c>
      <c r="B27" t="s">
        <v>99</v>
      </c>
      <c r="C27" s="8">
        <v>66413</v>
      </c>
      <c r="D27" t="s">
        <v>99</v>
      </c>
      <c r="E27" s="15"/>
      <c r="F27" t="s">
        <v>99</v>
      </c>
      <c r="G27" t="str">
        <f t="shared" si="2"/>
        <v>\textcolor{OliveGreen}{</v>
      </c>
      <c r="H27" s="9">
        <f t="shared" si="3"/>
        <v>-1</v>
      </c>
      <c r="I27" t="s">
        <v>102</v>
      </c>
    </row>
    <row r="28" spans="1:9" x14ac:dyDescent="0.25">
      <c r="A28" t="s">
        <v>119</v>
      </c>
      <c r="B28" t="s">
        <v>99</v>
      </c>
      <c r="C28" s="8">
        <v>12985</v>
      </c>
      <c r="D28" t="s">
        <v>99</v>
      </c>
      <c r="E28" s="15"/>
      <c r="F28" t="s">
        <v>99</v>
      </c>
      <c r="G28" t="str">
        <f t="shared" si="2"/>
        <v>\textcolor{OliveGreen}{</v>
      </c>
      <c r="H28" s="9">
        <f t="shared" si="3"/>
        <v>-1</v>
      </c>
      <c r="I28" t="s">
        <v>102</v>
      </c>
    </row>
    <row r="29" spans="1:9" x14ac:dyDescent="0.25">
      <c r="A29" t="s">
        <v>120</v>
      </c>
      <c r="B29" t="s">
        <v>99</v>
      </c>
      <c r="C29" s="8">
        <v>2</v>
      </c>
      <c r="D29" t="s">
        <v>99</v>
      </c>
      <c r="E29" s="15"/>
      <c r="F29" t="s">
        <v>99</v>
      </c>
      <c r="G29" t="str">
        <f t="shared" si="2"/>
        <v>\textcolor{OliveGreen}{</v>
      </c>
      <c r="H29" s="9">
        <f t="shared" si="3"/>
        <v>-1</v>
      </c>
      <c r="I29" t="s">
        <v>102</v>
      </c>
    </row>
    <row r="30" spans="1:9" x14ac:dyDescent="0.25">
      <c r="A30" t="s">
        <v>121</v>
      </c>
      <c r="B30" t="s">
        <v>99</v>
      </c>
      <c r="C30" s="8">
        <v>240</v>
      </c>
      <c r="D30" t="s">
        <v>99</v>
      </c>
      <c r="E30" s="15"/>
      <c r="F30" t="s">
        <v>99</v>
      </c>
      <c r="G30" t="str">
        <f>IF(H30&gt;0,"\textcolor{OliveGreen}{+","\textcolor{red}{")</f>
        <v>\textcolor{red}{</v>
      </c>
      <c r="H30" s="9">
        <f t="shared" si="3"/>
        <v>-1</v>
      </c>
      <c r="I30" t="s">
        <v>102</v>
      </c>
    </row>
    <row r="31" spans="1:9" x14ac:dyDescent="0.25">
      <c r="A31" t="s">
        <v>112</v>
      </c>
      <c r="B31" t="s">
        <v>99</v>
      </c>
      <c r="C31" s="16">
        <f>C25/C$30</f>
        <v>16.091666666666665</v>
      </c>
      <c r="D31" t="s">
        <v>99</v>
      </c>
      <c r="E31" s="17">
        <v>1</v>
      </c>
      <c r="F31" t="s">
        <v>99</v>
      </c>
      <c r="G31" t="str">
        <f>IF(H31&gt;0,"\textcolor{red}{+","\textcolor{OliveGreen}{")</f>
        <v>\textcolor{OliveGreen}{</v>
      </c>
      <c r="H31" s="9">
        <f t="shared" si="3"/>
        <v>-0.93785603314344901</v>
      </c>
      <c r="I31" t="s">
        <v>102</v>
      </c>
    </row>
    <row r="32" spans="1:9" x14ac:dyDescent="0.25">
      <c r="A32" t="s">
        <v>113</v>
      </c>
      <c r="B32" t="s">
        <v>99</v>
      </c>
      <c r="C32" s="16">
        <f>C26/C$30</f>
        <v>7.9208333333333334</v>
      </c>
      <c r="D32" t="s">
        <v>99</v>
      </c>
      <c r="E32" s="17">
        <v>1</v>
      </c>
      <c r="F32" t="s">
        <v>99</v>
      </c>
      <c r="G32" t="str">
        <f>IF(H32&gt;0,"\textcolor{red}{+","\textcolor{OliveGreen}{")</f>
        <v>\textcolor{OliveGreen}{</v>
      </c>
      <c r="H32" s="9">
        <f t="shared" si="3"/>
        <v>-0.87375065754865855</v>
      </c>
      <c r="I32" t="s">
        <v>102</v>
      </c>
    </row>
    <row r="33" spans="1:9" x14ac:dyDescent="0.25">
      <c r="A33" t="s">
        <v>114</v>
      </c>
      <c r="B33" t="s">
        <v>99</v>
      </c>
      <c r="C33" s="8">
        <f>Results!B17</f>
        <v>46466</v>
      </c>
      <c r="D33" t="s">
        <v>99</v>
      </c>
      <c r="E33" s="8">
        <f>Results!B25</f>
        <v>40885</v>
      </c>
      <c r="F33" t="s">
        <v>99</v>
      </c>
      <c r="G33" t="str">
        <f>IF(H33&gt;0,"\textcolor{red}{+","\textcolor{OliveGreen}{")</f>
        <v>\textcolor{OliveGreen}{</v>
      </c>
      <c r="H33" s="9">
        <f t="shared" si="3"/>
        <v>-0.12010932725003229</v>
      </c>
      <c r="I33" t="s">
        <v>102</v>
      </c>
    </row>
    <row r="34" spans="1:9" x14ac:dyDescent="0.25">
      <c r="A34" t="s">
        <v>115</v>
      </c>
      <c r="B34" t="s">
        <v>99</v>
      </c>
      <c r="C34" s="8">
        <f>Results!E17</f>
        <v>107014</v>
      </c>
      <c r="D34" t="s">
        <v>99</v>
      </c>
      <c r="E34" s="8">
        <f>Results!E25</f>
        <v>97090</v>
      </c>
      <c r="F34" t="s">
        <v>99</v>
      </c>
      <c r="G34" t="str">
        <f>IF(H34&gt;0,"\textcolor{red}{+","\textcolor{OliveGreen}{")</f>
        <v>\textcolor{OliveGreen}{</v>
      </c>
      <c r="H34" s="9">
        <f t="shared" si="3"/>
        <v>-9.273552993066328E-2</v>
      </c>
      <c r="I34" t="s">
        <v>102</v>
      </c>
    </row>
    <row r="35" spans="1:9" x14ac:dyDescent="0.25">
      <c r="A35" t="s">
        <v>116</v>
      </c>
      <c r="B35" t="s">
        <v>99</v>
      </c>
      <c r="C35" s="8">
        <f>Results!D17</f>
        <v>4</v>
      </c>
      <c r="D35" t="s">
        <v>99</v>
      </c>
      <c r="E35" s="8">
        <f>Results!D25</f>
        <v>4</v>
      </c>
      <c r="F35" t="s">
        <v>99</v>
      </c>
      <c r="G35" t="str">
        <f>IF(H35&gt;0,"\textcolor{red}{+","\textcolor{OliveGreen}{")</f>
        <v>\textcolor{OliveGreen}{</v>
      </c>
      <c r="H35" s="9">
        <f t="shared" si="3"/>
        <v>0</v>
      </c>
      <c r="I35" t="s">
        <v>102</v>
      </c>
    </row>
    <row r="36" spans="1:9" x14ac:dyDescent="0.25">
      <c r="A36" t="s">
        <v>117</v>
      </c>
      <c r="B36" t="s">
        <v>99</v>
      </c>
      <c r="C36" s="8">
        <f>Results!F17</f>
        <v>177.34</v>
      </c>
      <c r="D36" t="s">
        <v>99</v>
      </c>
      <c r="E36" s="8">
        <f>Results!F25</f>
        <v>193.01</v>
      </c>
      <c r="F36" t="s">
        <v>99</v>
      </c>
      <c r="G36" t="str">
        <f>IF(H36&gt;0,"\textcolor{OliveGreen}{+","\textcolor{red}{")</f>
        <v>\textcolor{OliveGreen}{+</v>
      </c>
      <c r="H36" s="9">
        <f t="shared" si="3"/>
        <v>8.8361339799255589E-2</v>
      </c>
      <c r="I36" t="s">
        <v>102</v>
      </c>
    </row>
    <row r="37" spans="1:9" x14ac:dyDescent="0.25">
      <c r="A37" t="s">
        <v>112</v>
      </c>
      <c r="B37" t="s">
        <v>99</v>
      </c>
      <c r="C37" s="16">
        <f>C25/(C$36)</f>
        <v>21.777376790346228</v>
      </c>
      <c r="D37" t="s">
        <v>99</v>
      </c>
      <c r="E37" s="16">
        <f>E25/E$36</f>
        <v>17.890264753121599</v>
      </c>
      <c r="F37" t="s">
        <v>99</v>
      </c>
      <c r="G37" t="str">
        <f>IF(H37&gt;0,"\textcolor{red}{+","\textcolor{OliveGreen}{")</f>
        <v>\textcolor{OliveGreen}{</v>
      </c>
      <c r="H37" s="9">
        <f t="shared" si="3"/>
        <v>-0.17849312498224124</v>
      </c>
      <c r="I37" t="s">
        <v>102</v>
      </c>
    </row>
    <row r="38" spans="1:9" x14ac:dyDescent="0.25">
      <c r="A38" t="s">
        <v>113</v>
      </c>
      <c r="B38" t="s">
        <v>99</v>
      </c>
      <c r="C38" s="16">
        <f>C26/(C$36)</f>
        <v>10.719521822487875</v>
      </c>
      <c r="D38" t="s">
        <v>99</v>
      </c>
      <c r="E38" s="16">
        <f>E26/E$36</f>
        <v>9.4865551007719819</v>
      </c>
      <c r="F38" t="s">
        <v>99</v>
      </c>
      <c r="G38" t="str">
        <f>IF(H38&gt;0,"\textcolor{red}{+","\textcolor{OliveGreen}{")</f>
        <v>\textcolor{OliveGreen}{</v>
      </c>
      <c r="H38" s="9">
        <f t="shared" si="3"/>
        <v>-0.11502068302424859</v>
      </c>
      <c r="I38" t="s">
        <v>102</v>
      </c>
    </row>
    <row r="39" spans="1:9" s="13" customFormat="1" x14ac:dyDescent="0.25">
      <c r="A39" s="10" t="s">
        <v>98</v>
      </c>
      <c r="B39" s="10" t="s">
        <v>99</v>
      </c>
      <c r="C39" s="11" t="str">
        <f>Cycle_estimation!A22</f>
        <v>5KEM_0d</v>
      </c>
      <c r="D39" s="10" t="s">
        <v>99</v>
      </c>
      <c r="E39" s="11" t="str">
        <f>Cycle_estimation_with_XEf!A22</f>
        <v>5KEM_5d</v>
      </c>
      <c r="F39" s="10" t="s">
        <v>99</v>
      </c>
      <c r="G39"/>
      <c r="H39" s="12"/>
      <c r="I39" s="10" t="str">
        <f>I28</f>
        <v>}\\</v>
      </c>
    </row>
    <row r="40" spans="1:9" x14ac:dyDescent="0.25">
      <c r="A40" s="14" t="s">
        <v>101</v>
      </c>
      <c r="B40" t="s">
        <v>99</v>
      </c>
      <c r="C40" s="8">
        <v>1018</v>
      </c>
      <c r="D40" t="s">
        <v>99</v>
      </c>
      <c r="E40" s="8">
        <v>940</v>
      </c>
      <c r="F40" t="s">
        <v>99</v>
      </c>
      <c r="G40" t="str">
        <f t="shared" ref="G40:G48" si="4">IF(H40&gt;0,"\textcolor{red}{+","\textcolor{OliveGreen}{")</f>
        <v>\textcolor{OliveGreen}{</v>
      </c>
      <c r="H40" s="9">
        <f t="shared" ref="H40:H57" si="5">(E40-C40)/C40</f>
        <v>-7.6620825147347735E-2</v>
      </c>
      <c r="I40" t="s">
        <v>102</v>
      </c>
    </row>
    <row r="41" spans="1:9" x14ac:dyDescent="0.25">
      <c r="A41" s="14" t="s">
        <v>103</v>
      </c>
      <c r="B41" t="s">
        <v>99</v>
      </c>
      <c r="C41" s="8">
        <v>1176</v>
      </c>
      <c r="D41" t="s">
        <v>99</v>
      </c>
      <c r="E41" s="8">
        <v>972</v>
      </c>
      <c r="F41" t="s">
        <v>99</v>
      </c>
      <c r="G41" t="str">
        <f t="shared" si="4"/>
        <v>\textcolor{OliveGreen}{</v>
      </c>
      <c r="H41" s="9">
        <f t="shared" si="5"/>
        <v>-0.17346938775510204</v>
      </c>
      <c r="I41" t="s">
        <v>102</v>
      </c>
    </row>
    <row r="42" spans="1:9" x14ac:dyDescent="0.25">
      <c r="A42" s="14" t="s">
        <v>104</v>
      </c>
      <c r="B42" t="s">
        <v>99</v>
      </c>
      <c r="C42" s="8">
        <v>32</v>
      </c>
      <c r="D42" t="s">
        <v>99</v>
      </c>
      <c r="E42" s="8">
        <v>32</v>
      </c>
      <c r="F42" t="s">
        <v>99</v>
      </c>
      <c r="G42" t="str">
        <f t="shared" si="4"/>
        <v>\textcolor{OliveGreen}{</v>
      </c>
      <c r="H42" s="9">
        <f t="shared" si="5"/>
        <v>0</v>
      </c>
      <c r="I42" t="s">
        <v>102</v>
      </c>
    </row>
    <row r="43" spans="1:9" x14ac:dyDescent="0.25">
      <c r="A43" s="14" t="s">
        <v>105</v>
      </c>
      <c r="B43" t="s">
        <v>99</v>
      </c>
      <c r="C43" s="8">
        <v>1274</v>
      </c>
      <c r="D43" t="s">
        <v>99</v>
      </c>
      <c r="E43" s="8">
        <v>1063</v>
      </c>
      <c r="F43" t="s">
        <v>99</v>
      </c>
      <c r="G43" t="str">
        <f t="shared" si="4"/>
        <v>\textcolor{OliveGreen}{</v>
      </c>
      <c r="H43" s="9">
        <f t="shared" si="5"/>
        <v>-0.16562009419152277</v>
      </c>
      <c r="I43" t="s">
        <v>102</v>
      </c>
    </row>
    <row r="44" spans="1:9" x14ac:dyDescent="0.25">
      <c r="A44" t="s">
        <v>106</v>
      </c>
      <c r="B44" t="s">
        <v>99</v>
      </c>
      <c r="C44" s="8">
        <f>Cycle_estimation!B22</f>
        <v>5031</v>
      </c>
      <c r="D44" t="s">
        <v>99</v>
      </c>
      <c r="E44" s="8">
        <f>Cycle_estimation_with_XEf!B22</f>
        <v>4279</v>
      </c>
      <c r="F44" t="s">
        <v>99</v>
      </c>
      <c r="G44" t="str">
        <f t="shared" si="4"/>
        <v>\textcolor{OliveGreen}{</v>
      </c>
      <c r="H44" s="9">
        <f t="shared" si="5"/>
        <v>-0.14947326575233552</v>
      </c>
      <c r="I44" t="str">
        <f>I39</f>
        <v>}\\</v>
      </c>
    </row>
    <row r="45" spans="1:9" x14ac:dyDescent="0.25">
      <c r="A45" t="s">
        <v>107</v>
      </c>
      <c r="B45" t="s">
        <v>99</v>
      </c>
      <c r="C45" s="8">
        <f>Cycle_estimation!C22</f>
        <v>2450</v>
      </c>
      <c r="D45" t="s">
        <v>99</v>
      </c>
      <c r="E45" s="8">
        <f>Cycle_estimation_with_XEf!C22</f>
        <v>2252</v>
      </c>
      <c r="F45" t="s">
        <v>99</v>
      </c>
      <c r="G45" t="str">
        <f t="shared" si="4"/>
        <v>\textcolor{OliveGreen}{</v>
      </c>
      <c r="H45" s="9">
        <f t="shared" si="5"/>
        <v>-8.0816326530612242E-2</v>
      </c>
      <c r="I45" t="str">
        <f>I44</f>
        <v>}\\</v>
      </c>
    </row>
    <row r="46" spans="1:9" x14ac:dyDescent="0.25">
      <c r="A46" t="s">
        <v>118</v>
      </c>
      <c r="B46" t="s">
        <v>99</v>
      </c>
      <c r="C46" s="8">
        <v>98063</v>
      </c>
      <c r="D46" t="s">
        <v>99</v>
      </c>
      <c r="E46" s="15"/>
      <c r="F46" t="s">
        <v>99</v>
      </c>
      <c r="G46" t="str">
        <f t="shared" si="4"/>
        <v>\textcolor{OliveGreen}{</v>
      </c>
      <c r="H46" s="9">
        <f t="shared" si="5"/>
        <v>-1</v>
      </c>
      <c r="I46" t="str">
        <f>I45</f>
        <v>}\\</v>
      </c>
    </row>
    <row r="47" spans="1:9" x14ac:dyDescent="0.25">
      <c r="A47" t="s">
        <v>119</v>
      </c>
      <c r="B47" t="s">
        <v>99</v>
      </c>
      <c r="C47" s="8">
        <v>17561</v>
      </c>
      <c r="D47" t="s">
        <v>99</v>
      </c>
      <c r="E47" s="15"/>
      <c r="F47" t="s">
        <v>99</v>
      </c>
      <c r="G47" t="str">
        <f t="shared" si="4"/>
        <v>\textcolor{OliveGreen}{</v>
      </c>
      <c r="H47" s="9">
        <f t="shared" si="5"/>
        <v>-1</v>
      </c>
      <c r="I47" t="str">
        <f>I46</f>
        <v>}\\</v>
      </c>
    </row>
    <row r="48" spans="1:9" x14ac:dyDescent="0.25">
      <c r="A48" t="s">
        <v>120</v>
      </c>
      <c r="B48" t="s">
        <v>99</v>
      </c>
      <c r="C48" s="8">
        <v>2</v>
      </c>
      <c r="D48" t="s">
        <v>99</v>
      </c>
      <c r="E48" s="15"/>
      <c r="F48" t="s">
        <v>99</v>
      </c>
      <c r="G48" t="str">
        <f t="shared" si="4"/>
        <v>\textcolor{OliveGreen}{</v>
      </c>
      <c r="H48" s="9">
        <f t="shared" si="5"/>
        <v>-1</v>
      </c>
      <c r="I48" t="str">
        <f>I47</f>
        <v>}\\</v>
      </c>
    </row>
    <row r="49" spans="1:9" x14ac:dyDescent="0.25">
      <c r="A49" t="s">
        <v>121</v>
      </c>
      <c r="B49" t="s">
        <v>99</v>
      </c>
      <c r="C49" s="8">
        <v>220</v>
      </c>
      <c r="D49" t="s">
        <v>99</v>
      </c>
      <c r="E49" s="15"/>
      <c r="F49" t="s">
        <v>99</v>
      </c>
      <c r="G49" t="str">
        <f>IF(H49&gt;0,"\textcolor{OliveGreen}{+","\textcolor{red}{")</f>
        <v>\textcolor{red}{</v>
      </c>
      <c r="H49" s="9">
        <f t="shared" si="5"/>
        <v>-1</v>
      </c>
      <c r="I49" t="str">
        <f>I48</f>
        <v>}\\</v>
      </c>
    </row>
    <row r="50" spans="1:9" x14ac:dyDescent="0.25">
      <c r="A50" t="s">
        <v>112</v>
      </c>
      <c r="B50" t="s">
        <v>99</v>
      </c>
      <c r="C50" s="16">
        <f>C44/C$49</f>
        <v>22.868181818181817</v>
      </c>
      <c r="D50" t="s">
        <v>99</v>
      </c>
      <c r="E50" s="17">
        <v>1</v>
      </c>
      <c r="F50" t="s">
        <v>99</v>
      </c>
      <c r="G50" t="str">
        <f>IF(H50&gt;0,"\textcolor{red}{+","\textcolor{OliveGreen}{")</f>
        <v>\textcolor{OliveGreen}{</v>
      </c>
      <c r="H50" s="9">
        <f t="shared" si="5"/>
        <v>-0.95627111906181672</v>
      </c>
      <c r="I50" t="str">
        <f>I47</f>
        <v>}\\</v>
      </c>
    </row>
    <row r="51" spans="1:9" x14ac:dyDescent="0.25">
      <c r="A51" t="s">
        <v>113</v>
      </c>
      <c r="B51" t="s">
        <v>99</v>
      </c>
      <c r="C51" s="16">
        <f>C45/C$49</f>
        <v>11.136363636363637</v>
      </c>
      <c r="D51" t="s">
        <v>99</v>
      </c>
      <c r="E51" s="17">
        <v>1</v>
      </c>
      <c r="F51" t="s">
        <v>99</v>
      </c>
      <c r="G51" t="str">
        <f>IF(H51&gt;0,"\textcolor{red}{+","\textcolor{OliveGreen}{")</f>
        <v>\textcolor{OliveGreen}{</v>
      </c>
      <c r="H51" s="9">
        <f t="shared" si="5"/>
        <v>-0.91020408163265309</v>
      </c>
      <c r="I51" t="str">
        <f>I50</f>
        <v>}\\</v>
      </c>
    </row>
    <row r="52" spans="1:9" x14ac:dyDescent="0.25">
      <c r="A52" t="s">
        <v>114</v>
      </c>
      <c r="B52" t="s">
        <v>99</v>
      </c>
      <c r="C52" s="8">
        <f>Results!B18</f>
        <v>61823</v>
      </c>
      <c r="D52" t="s">
        <v>99</v>
      </c>
      <c r="E52" s="8">
        <f>Results!B26</f>
        <v>50145</v>
      </c>
      <c r="F52" t="s">
        <v>99</v>
      </c>
      <c r="G52" t="str">
        <f>IF(H52&gt;0,"\textcolor{red}{+","\textcolor{OliveGreen}{")</f>
        <v>\textcolor{OliveGreen}{</v>
      </c>
      <c r="H52" s="9">
        <f t="shared" si="5"/>
        <v>-0.18889410090095918</v>
      </c>
      <c r="I52" t="str">
        <f>I51</f>
        <v>}\\</v>
      </c>
    </row>
    <row r="53" spans="1:9" x14ac:dyDescent="0.25">
      <c r="A53" t="s">
        <v>115</v>
      </c>
      <c r="B53" t="s">
        <v>99</v>
      </c>
      <c r="C53" s="8">
        <f>Results!E18</f>
        <v>146373</v>
      </c>
      <c r="D53" t="s">
        <v>99</v>
      </c>
      <c r="E53" s="8">
        <f>Results!E26</f>
        <v>117657</v>
      </c>
      <c r="F53" t="s">
        <v>99</v>
      </c>
      <c r="G53" t="str">
        <f>IF(H53&gt;0,"\textcolor{red}{+","\textcolor{OliveGreen}{")</f>
        <v>\textcolor{OliveGreen}{</v>
      </c>
      <c r="H53" s="9">
        <f t="shared" si="5"/>
        <v>-0.19618372240782112</v>
      </c>
      <c r="I53" t="str">
        <f>I52</f>
        <v>}\\</v>
      </c>
    </row>
    <row r="54" spans="1:9" x14ac:dyDescent="0.25">
      <c r="A54" t="s">
        <v>116</v>
      </c>
      <c r="B54" t="s">
        <v>99</v>
      </c>
      <c r="C54" s="8">
        <f>Results!D18</f>
        <v>4</v>
      </c>
      <c r="D54" t="s">
        <v>99</v>
      </c>
      <c r="E54" s="8">
        <f>Results!D26</f>
        <v>4</v>
      </c>
      <c r="F54" t="s">
        <v>99</v>
      </c>
      <c r="G54" t="str">
        <f>IF(H54&gt;0,"\textcolor{red}{+","\textcolor{OliveGreen}{")</f>
        <v>\textcolor{OliveGreen}{</v>
      </c>
      <c r="H54" s="9">
        <f t="shared" si="5"/>
        <v>0</v>
      </c>
      <c r="I54" t="str">
        <f>I53</f>
        <v>}\\</v>
      </c>
    </row>
    <row r="55" spans="1:9" x14ac:dyDescent="0.25">
      <c r="A55" t="s">
        <v>117</v>
      </c>
      <c r="B55" t="s">
        <v>99</v>
      </c>
      <c r="C55" s="8">
        <f>Results!F18</f>
        <v>183.82</v>
      </c>
      <c r="D55" t="s">
        <v>99</v>
      </c>
      <c r="E55" s="8">
        <f>Results!F26</f>
        <v>184.2</v>
      </c>
      <c r="F55" t="s">
        <v>99</v>
      </c>
      <c r="G55" t="str">
        <f>IF(H55&gt;0,"\textcolor{OliveGreen}{+","\textcolor{red}{")</f>
        <v>\textcolor{OliveGreen}{+</v>
      </c>
      <c r="H55" s="9">
        <f t="shared" si="5"/>
        <v>2.0672396910020427E-3</v>
      </c>
      <c r="I55" t="str">
        <f>I54</f>
        <v>}\\</v>
      </c>
    </row>
    <row r="56" spans="1:9" x14ac:dyDescent="0.25">
      <c r="A56" t="s">
        <v>112</v>
      </c>
      <c r="B56" t="s">
        <v>99</v>
      </c>
      <c r="C56" s="16">
        <f>C44/(C$55)</f>
        <v>27.369165487977369</v>
      </c>
      <c r="D56" t="s">
        <v>99</v>
      </c>
      <c r="E56" s="16">
        <f>E44/E$55</f>
        <v>23.230184581976115</v>
      </c>
      <c r="F56" t="s">
        <v>99</v>
      </c>
      <c r="G56" t="str">
        <f>IF(H56&gt;0,"\textcolor{red}{+","\textcolor{OliveGreen}{")</f>
        <v>\textcolor{OliveGreen}{</v>
      </c>
      <c r="H56" s="9">
        <f t="shared" si="5"/>
        <v>-0.15122788116500707</v>
      </c>
      <c r="I56" t="str">
        <f>I53</f>
        <v>}\\</v>
      </c>
    </row>
    <row r="57" spans="1:9" x14ac:dyDescent="0.25">
      <c r="A57" t="s">
        <v>113</v>
      </c>
      <c r="B57" t="s">
        <v>99</v>
      </c>
      <c r="C57" s="16">
        <f>C45/(C$55)</f>
        <v>13.328255902513328</v>
      </c>
      <c r="D57" t="s">
        <v>99</v>
      </c>
      <c r="E57" s="16">
        <f>E45/E$55</f>
        <v>12.225841476655809</v>
      </c>
      <c r="F57" t="s">
        <v>99</v>
      </c>
      <c r="G57" t="str">
        <f>IF(H57&gt;0,"\textcolor{red}{+","\textcolor{OliveGreen}{")</f>
        <v>\textcolor{OliveGreen}{</v>
      </c>
      <c r="H57" s="9">
        <f t="shared" si="5"/>
        <v>-8.2712579494338453E-2</v>
      </c>
      <c r="I57" t="str">
        <f>I56</f>
        <v>}\\</v>
      </c>
    </row>
    <row r="58" spans="1:9" s="13" customFormat="1" x14ac:dyDescent="0.25">
      <c r="A58" s="10" t="s">
        <v>98</v>
      </c>
      <c r="B58" s="10" t="s">
        <v>99</v>
      </c>
      <c r="C58" s="11" t="str">
        <f>Cycle_estimation!A25</f>
        <v>1PKE_0d</v>
      </c>
      <c r="D58" s="10" t="s">
        <v>99</v>
      </c>
      <c r="E58" s="11" t="str">
        <f>Cycle_estimation_with_XEf!A25</f>
        <v>1PKE_5d</v>
      </c>
      <c r="F58" s="10" t="s">
        <v>99</v>
      </c>
      <c r="G58"/>
      <c r="H58" s="12"/>
      <c r="I58" s="10" t="str">
        <f>I47</f>
        <v>}\\</v>
      </c>
    </row>
    <row r="59" spans="1:9" x14ac:dyDescent="0.25">
      <c r="A59" s="14" t="s">
        <v>101</v>
      </c>
      <c r="B59" t="s">
        <v>99</v>
      </c>
      <c r="C59" s="8">
        <v>586</v>
      </c>
      <c r="D59" t="s">
        <v>99</v>
      </c>
      <c r="E59" s="8">
        <v>508</v>
      </c>
      <c r="F59" t="s">
        <v>99</v>
      </c>
      <c r="G59" t="str">
        <f t="shared" ref="G59:G67" si="6">IF(H59&gt;0,"\textcolor{red}{+","\textcolor{OliveGreen}{")</f>
        <v>\textcolor{OliveGreen}{</v>
      </c>
      <c r="H59" s="9">
        <f t="shared" ref="H59:H76" si="7">(E59-C59)/C59</f>
        <v>-0.13310580204778158</v>
      </c>
      <c r="I59" t="s">
        <v>102</v>
      </c>
    </row>
    <row r="60" spans="1:9" x14ac:dyDescent="0.25">
      <c r="A60" s="14" t="s">
        <v>103</v>
      </c>
      <c r="B60" t="s">
        <v>99</v>
      </c>
      <c r="C60" s="8">
        <v>676</v>
      </c>
      <c r="D60" t="s">
        <v>99</v>
      </c>
      <c r="E60" s="8">
        <v>461</v>
      </c>
      <c r="F60" t="s">
        <v>99</v>
      </c>
      <c r="G60" t="str">
        <f t="shared" si="6"/>
        <v>\textcolor{OliveGreen}{</v>
      </c>
      <c r="H60" s="9">
        <f t="shared" si="7"/>
        <v>-0.31804733727810652</v>
      </c>
      <c r="I60" t="s">
        <v>102</v>
      </c>
    </row>
    <row r="61" spans="1:9" x14ac:dyDescent="0.25">
      <c r="A61" s="14" t="s">
        <v>104</v>
      </c>
      <c r="B61" t="s">
        <v>99</v>
      </c>
      <c r="C61" s="8">
        <v>708</v>
      </c>
      <c r="D61" t="s">
        <v>99</v>
      </c>
      <c r="E61" s="8">
        <v>493</v>
      </c>
      <c r="F61" t="s">
        <v>99</v>
      </c>
      <c r="G61" t="str">
        <f t="shared" si="6"/>
        <v>\textcolor{OliveGreen}{</v>
      </c>
      <c r="H61" s="9">
        <f t="shared" si="7"/>
        <v>-0.3036723163841808</v>
      </c>
      <c r="I61" t="s">
        <v>102</v>
      </c>
    </row>
    <row r="62" spans="1:9" x14ac:dyDescent="0.25">
      <c r="A62" s="14" t="s">
        <v>105</v>
      </c>
      <c r="B62" t="s">
        <v>99</v>
      </c>
      <c r="C62" s="8">
        <v>756</v>
      </c>
      <c r="D62" t="s">
        <v>99</v>
      </c>
      <c r="E62" s="8">
        <v>636</v>
      </c>
      <c r="F62" t="s">
        <v>99</v>
      </c>
      <c r="G62" t="str">
        <f t="shared" si="6"/>
        <v>\textcolor{OliveGreen}{</v>
      </c>
      <c r="H62" s="9">
        <f t="shared" si="7"/>
        <v>-0.15873015873015872</v>
      </c>
      <c r="I62" t="s">
        <v>102</v>
      </c>
    </row>
    <row r="63" spans="1:9" x14ac:dyDescent="0.25">
      <c r="A63" t="s">
        <v>106</v>
      </c>
      <c r="B63" t="s">
        <v>99</v>
      </c>
      <c r="C63" s="8">
        <f>Cycle_estimation!B25</f>
        <v>2990</v>
      </c>
      <c r="D63" t="s">
        <v>99</v>
      </c>
      <c r="E63" s="8">
        <f>Cycle_estimation_with_XEf!B25</f>
        <v>2423</v>
      </c>
      <c r="F63" t="s">
        <v>99</v>
      </c>
      <c r="G63" t="str">
        <f t="shared" si="6"/>
        <v>\textcolor{OliveGreen}{</v>
      </c>
      <c r="H63" s="9">
        <f t="shared" si="7"/>
        <v>-0.18963210702341138</v>
      </c>
      <c r="I63" t="str">
        <f>I58</f>
        <v>}\\</v>
      </c>
    </row>
    <row r="64" spans="1:9" x14ac:dyDescent="0.25">
      <c r="A64" t="s">
        <v>107</v>
      </c>
      <c r="B64" t="s">
        <v>99</v>
      </c>
      <c r="C64" s="8">
        <f>Cycle_estimation!C25</f>
        <v>4063</v>
      </c>
      <c r="D64" t="s">
        <v>99</v>
      </c>
      <c r="E64" s="8">
        <f>Cycle_estimation_with_XEf!C25</f>
        <v>3395</v>
      </c>
      <c r="F64" t="s">
        <v>99</v>
      </c>
      <c r="G64" t="str">
        <f t="shared" si="6"/>
        <v>\textcolor{OliveGreen}{</v>
      </c>
      <c r="H64" s="9">
        <f t="shared" si="7"/>
        <v>-0.16441053408811224</v>
      </c>
      <c r="I64" t="str">
        <f>I63</f>
        <v>}\\</v>
      </c>
    </row>
    <row r="65" spans="1:9" x14ac:dyDescent="0.25">
      <c r="A65" t="s">
        <v>118</v>
      </c>
      <c r="B65" t="s">
        <v>99</v>
      </c>
      <c r="C65" s="8">
        <v>52587</v>
      </c>
      <c r="D65" t="s">
        <v>99</v>
      </c>
      <c r="E65" s="15"/>
      <c r="F65" t="s">
        <v>99</v>
      </c>
      <c r="G65" t="str">
        <f t="shared" si="6"/>
        <v>\textcolor{OliveGreen}{</v>
      </c>
      <c r="H65" s="9">
        <f t="shared" si="7"/>
        <v>-1</v>
      </c>
      <c r="I65" t="str">
        <f>I64</f>
        <v>}\\</v>
      </c>
    </row>
    <row r="66" spans="1:9" x14ac:dyDescent="0.25">
      <c r="A66" t="s">
        <v>119</v>
      </c>
      <c r="B66" t="s">
        <v>99</v>
      </c>
      <c r="C66" s="8">
        <v>10674</v>
      </c>
      <c r="D66" t="s">
        <v>99</v>
      </c>
      <c r="E66" s="15"/>
      <c r="F66" t="s">
        <v>99</v>
      </c>
      <c r="G66" t="str">
        <f t="shared" si="6"/>
        <v>\textcolor{OliveGreen}{</v>
      </c>
      <c r="H66" s="9">
        <f t="shared" si="7"/>
        <v>-1</v>
      </c>
      <c r="I66" t="str">
        <f>I65</f>
        <v>}\\</v>
      </c>
    </row>
    <row r="67" spans="1:9" x14ac:dyDescent="0.25">
      <c r="A67" t="s">
        <v>120</v>
      </c>
      <c r="B67" t="s">
        <v>99</v>
      </c>
      <c r="C67" s="8">
        <v>2</v>
      </c>
      <c r="D67" t="s">
        <v>99</v>
      </c>
      <c r="E67" s="15"/>
      <c r="F67" t="s">
        <v>99</v>
      </c>
      <c r="G67" t="str">
        <f t="shared" si="6"/>
        <v>\textcolor{OliveGreen}{</v>
      </c>
      <c r="H67" s="9">
        <f t="shared" si="7"/>
        <v>-1</v>
      </c>
      <c r="I67" t="str">
        <f>I66</f>
        <v>}\\</v>
      </c>
    </row>
    <row r="68" spans="1:9" x14ac:dyDescent="0.25">
      <c r="A68" t="s">
        <v>121</v>
      </c>
      <c r="B68" t="s">
        <v>99</v>
      </c>
      <c r="C68" s="8">
        <v>260</v>
      </c>
      <c r="D68" t="s">
        <v>99</v>
      </c>
      <c r="E68" s="15"/>
      <c r="F68" t="s">
        <v>99</v>
      </c>
      <c r="G68" t="str">
        <f>IF(H68&gt;0,"\textcolor{OliveGreen}{+","\textcolor{red}{")</f>
        <v>\textcolor{red}{</v>
      </c>
      <c r="H68" s="9">
        <f t="shared" si="7"/>
        <v>-1</v>
      </c>
      <c r="I68" t="str">
        <f>I67</f>
        <v>}\\</v>
      </c>
    </row>
    <row r="69" spans="1:9" x14ac:dyDescent="0.25">
      <c r="A69" t="s">
        <v>112</v>
      </c>
      <c r="B69" t="s">
        <v>99</v>
      </c>
      <c r="C69" s="16">
        <f>C63/C$68</f>
        <v>11.5</v>
      </c>
      <c r="D69" t="s">
        <v>99</v>
      </c>
      <c r="E69" s="17">
        <v>1</v>
      </c>
      <c r="F69" t="s">
        <v>99</v>
      </c>
      <c r="G69" t="str">
        <f>IF(H69&gt;0,"\textcolor{red}{+","\textcolor{OliveGreen}{")</f>
        <v>\textcolor{OliveGreen}{</v>
      </c>
      <c r="H69" s="9">
        <f t="shared" si="7"/>
        <v>-0.91304347826086951</v>
      </c>
      <c r="I69" t="str">
        <f>I66</f>
        <v>}\\</v>
      </c>
    </row>
    <row r="70" spans="1:9" x14ac:dyDescent="0.25">
      <c r="A70" t="s">
        <v>113</v>
      </c>
      <c r="B70" t="s">
        <v>99</v>
      </c>
      <c r="C70" s="16">
        <f>C64/C$68</f>
        <v>15.626923076923077</v>
      </c>
      <c r="D70" t="s">
        <v>99</v>
      </c>
      <c r="E70" s="17">
        <v>1</v>
      </c>
      <c r="F70" t="s">
        <v>99</v>
      </c>
      <c r="G70" t="str">
        <f>IF(H70&gt;0,"\textcolor{red}{+","\textcolor{OliveGreen}{")</f>
        <v>\textcolor{OliveGreen}{</v>
      </c>
      <c r="H70" s="9">
        <f t="shared" si="7"/>
        <v>-0.93600787595372881</v>
      </c>
      <c r="I70" t="str">
        <f>I69</f>
        <v>}\\</v>
      </c>
    </row>
    <row r="71" spans="1:9" x14ac:dyDescent="0.25">
      <c r="A71" t="s">
        <v>114</v>
      </c>
      <c r="B71" t="s">
        <v>99</v>
      </c>
      <c r="C71" s="8">
        <f>Results!B19</f>
        <v>37252</v>
      </c>
      <c r="D71" t="s">
        <v>99</v>
      </c>
      <c r="E71" s="8">
        <f>Results!B27</f>
        <v>26998</v>
      </c>
      <c r="F71" t="s">
        <v>99</v>
      </c>
      <c r="G71" t="str">
        <f>IF(H71&gt;0,"\textcolor{red}{+","\textcolor{OliveGreen}{")</f>
        <v>\textcolor{OliveGreen}{</v>
      </c>
      <c r="H71" s="9">
        <f t="shared" si="7"/>
        <v>-0.27526038870396219</v>
      </c>
      <c r="I71" t="str">
        <f>I70</f>
        <v>}\\</v>
      </c>
    </row>
    <row r="72" spans="1:9" x14ac:dyDescent="0.25">
      <c r="A72" t="s">
        <v>115</v>
      </c>
      <c r="B72" t="s">
        <v>99</v>
      </c>
      <c r="C72" s="8">
        <f>Results!E19</f>
        <v>82814</v>
      </c>
      <c r="D72" t="s">
        <v>99</v>
      </c>
      <c r="E72" s="8">
        <f>Results!E27</f>
        <v>57028</v>
      </c>
      <c r="F72" t="s">
        <v>99</v>
      </c>
      <c r="G72" t="str">
        <f>IF(H72&gt;0,"\textcolor{red}{+","\textcolor{OliveGreen}{")</f>
        <v>\textcolor{OliveGreen}{</v>
      </c>
      <c r="H72" s="9">
        <f t="shared" si="7"/>
        <v>-0.31137247325331463</v>
      </c>
      <c r="I72" t="str">
        <f>I71</f>
        <v>}\\</v>
      </c>
    </row>
    <row r="73" spans="1:9" x14ac:dyDescent="0.25">
      <c r="A73" t="s">
        <v>116</v>
      </c>
      <c r="B73" t="s">
        <v>99</v>
      </c>
      <c r="C73" s="8">
        <f>Results!D19</f>
        <v>6</v>
      </c>
      <c r="D73" t="s">
        <v>99</v>
      </c>
      <c r="E73" s="8">
        <f>Results!D27</f>
        <v>6</v>
      </c>
      <c r="F73" t="s">
        <v>99</v>
      </c>
      <c r="G73" t="str">
        <f>IF(H73&gt;0,"\textcolor{red}{+","\textcolor{OliveGreen}{")</f>
        <v>\textcolor{OliveGreen}{</v>
      </c>
      <c r="H73" s="9">
        <f t="shared" si="7"/>
        <v>0</v>
      </c>
      <c r="I73" t="str">
        <f>I72</f>
        <v>}\\</v>
      </c>
    </row>
    <row r="74" spans="1:9" x14ac:dyDescent="0.25">
      <c r="A74" t="s">
        <v>117</v>
      </c>
      <c r="B74" t="s">
        <v>99</v>
      </c>
      <c r="C74" s="8">
        <f>Results!F19</f>
        <v>191.09</v>
      </c>
      <c r="D74" t="s">
        <v>99</v>
      </c>
      <c r="E74" s="8">
        <f>Results!F27</f>
        <v>193.57</v>
      </c>
      <c r="F74" t="s">
        <v>99</v>
      </c>
      <c r="G74" t="str">
        <f>IF(H74&gt;0,"\textcolor{OliveGreen}{+","\textcolor{red}{")</f>
        <v>\textcolor{OliveGreen}{+</v>
      </c>
      <c r="H74" s="9">
        <f t="shared" si="7"/>
        <v>1.2978177821968652E-2</v>
      </c>
      <c r="I74" t="str">
        <f>I73</f>
        <v>}\\</v>
      </c>
    </row>
    <row r="75" spans="1:9" x14ac:dyDescent="0.25">
      <c r="A75" t="s">
        <v>112</v>
      </c>
      <c r="B75" t="s">
        <v>99</v>
      </c>
      <c r="C75" s="16">
        <f>C63/(C$74)</f>
        <v>15.647077293421948</v>
      </c>
      <c r="D75" t="s">
        <v>99</v>
      </c>
      <c r="E75" s="16">
        <f>E63/E$74</f>
        <v>12.517435553029912</v>
      </c>
      <c r="F75" t="s">
        <v>99</v>
      </c>
      <c r="G75" t="str">
        <f>IF(H75&gt;0,"\textcolor{red}{+","\textcolor{OliveGreen}{")</f>
        <v>\textcolor{OliveGreen}{</v>
      </c>
      <c r="H75" s="9">
        <f t="shared" si="7"/>
        <v>-0.20001446159582409</v>
      </c>
      <c r="I75" t="str">
        <f>I72</f>
        <v>}\\</v>
      </c>
    </row>
    <row r="76" spans="1:9" x14ac:dyDescent="0.25">
      <c r="A76" t="s">
        <v>113</v>
      </c>
      <c r="B76" t="s">
        <v>99</v>
      </c>
      <c r="C76" s="16">
        <f>C64/(C$74)</f>
        <v>21.262232455910826</v>
      </c>
      <c r="D76" t="s">
        <v>99</v>
      </c>
      <c r="E76" s="16">
        <f>E64/E$74</f>
        <v>17.53887482564447</v>
      </c>
      <c r="F76" t="s">
        <v>99</v>
      </c>
      <c r="G76" t="str">
        <f>IF(H76&gt;0,"\textcolor{red}{+","\textcolor{OliveGreen}{")</f>
        <v>\textcolor{OliveGreen}{</v>
      </c>
      <c r="H76" s="9">
        <f t="shared" si="7"/>
        <v>-0.17511602499817822</v>
      </c>
      <c r="I76" t="str">
        <f>I75</f>
        <v>}\\</v>
      </c>
    </row>
    <row r="77" spans="1:9" s="13" customFormat="1" x14ac:dyDescent="0.25">
      <c r="A77" s="10" t="s">
        <v>98</v>
      </c>
      <c r="B77" s="10" t="s">
        <v>99</v>
      </c>
      <c r="C77" s="11" t="str">
        <f>Cycle_estimation!A26</f>
        <v>3PKE_0d</v>
      </c>
      <c r="D77" s="10" t="s">
        <v>99</v>
      </c>
      <c r="E77" s="11" t="str">
        <f>Cycle_estimation_with_XEf!A26</f>
        <v>3PKE_5d</v>
      </c>
      <c r="F77" s="10" t="s">
        <v>99</v>
      </c>
      <c r="G77"/>
      <c r="H77" s="12"/>
      <c r="I77" s="10" t="str">
        <f>I70</f>
        <v>}\\</v>
      </c>
    </row>
    <row r="78" spans="1:9" x14ac:dyDescent="0.25">
      <c r="A78" s="14" t="s">
        <v>101</v>
      </c>
      <c r="B78" t="s">
        <v>99</v>
      </c>
      <c r="C78" s="8">
        <v>852</v>
      </c>
      <c r="D78" t="s">
        <v>99</v>
      </c>
      <c r="E78" s="8">
        <v>756</v>
      </c>
      <c r="F78" t="s">
        <v>99</v>
      </c>
      <c r="G78" t="str">
        <f t="shared" ref="G78:G86" si="8">IF(H78&gt;0,"\textcolor{red}{+","\textcolor{OliveGreen}{")</f>
        <v>\textcolor{OliveGreen}{</v>
      </c>
      <c r="H78" s="9">
        <f t="shared" ref="H78:H95" si="9">(E78-C78)/C78</f>
        <v>-0.11267605633802817</v>
      </c>
      <c r="I78" t="s">
        <v>102</v>
      </c>
    </row>
    <row r="79" spans="1:9" x14ac:dyDescent="0.25">
      <c r="A79" s="14" t="s">
        <v>103</v>
      </c>
      <c r="B79" t="s">
        <v>99</v>
      </c>
      <c r="C79" s="8">
        <v>983</v>
      </c>
      <c r="D79" t="s">
        <v>99</v>
      </c>
      <c r="E79" s="8">
        <v>780</v>
      </c>
      <c r="F79" t="s">
        <v>99</v>
      </c>
      <c r="G79" t="str">
        <f t="shared" si="8"/>
        <v>\textcolor{OliveGreen}{</v>
      </c>
      <c r="H79" s="9">
        <f t="shared" si="9"/>
        <v>-0.20651068158697863</v>
      </c>
      <c r="I79" t="s">
        <v>102</v>
      </c>
    </row>
    <row r="80" spans="1:9" x14ac:dyDescent="0.25">
      <c r="A80" s="14" t="s">
        <v>104</v>
      </c>
      <c r="B80" t="s">
        <v>99</v>
      </c>
      <c r="C80" s="8">
        <v>1031</v>
      </c>
      <c r="D80" t="s">
        <v>99</v>
      </c>
      <c r="E80" s="8">
        <v>828</v>
      </c>
      <c r="F80" t="s">
        <v>99</v>
      </c>
      <c r="G80" t="str">
        <f t="shared" si="8"/>
        <v>\textcolor{OliveGreen}{</v>
      </c>
      <c r="H80" s="9">
        <f t="shared" si="9"/>
        <v>-0.19689621726479145</v>
      </c>
      <c r="I80" t="s">
        <v>102</v>
      </c>
    </row>
    <row r="81" spans="1:9" x14ac:dyDescent="0.25">
      <c r="A81" s="14" t="s">
        <v>105</v>
      </c>
      <c r="B81" t="s">
        <v>99</v>
      </c>
      <c r="C81" s="8">
        <v>1119</v>
      </c>
      <c r="D81" t="s">
        <v>99</v>
      </c>
      <c r="E81" s="8">
        <v>950</v>
      </c>
      <c r="F81" t="s">
        <v>99</v>
      </c>
      <c r="G81" t="str">
        <f t="shared" si="8"/>
        <v>\textcolor{OliveGreen}{</v>
      </c>
      <c r="H81" s="9">
        <f t="shared" si="9"/>
        <v>-0.15102770330652368</v>
      </c>
      <c r="I81" t="s">
        <v>102</v>
      </c>
    </row>
    <row r="82" spans="1:9" x14ac:dyDescent="0.25">
      <c r="A82" t="s">
        <v>106</v>
      </c>
      <c r="B82" t="s">
        <v>99</v>
      </c>
      <c r="C82" s="8">
        <f>Cycle_estimation!B26</f>
        <v>4248</v>
      </c>
      <c r="D82" t="s">
        <v>99</v>
      </c>
      <c r="E82" s="8">
        <f>Cycle_estimation_with_XEf!B26</f>
        <v>3650</v>
      </c>
      <c r="F82" t="s">
        <v>99</v>
      </c>
      <c r="G82" t="str">
        <f t="shared" si="8"/>
        <v>\textcolor{OliveGreen}{</v>
      </c>
      <c r="H82" s="9">
        <f t="shared" si="9"/>
        <v>-0.14077212806026365</v>
      </c>
      <c r="I82" t="str">
        <f>I77</f>
        <v>}\\</v>
      </c>
    </row>
    <row r="83" spans="1:9" x14ac:dyDescent="0.25">
      <c r="A83" t="s">
        <v>107</v>
      </c>
      <c r="B83" t="s">
        <v>99</v>
      </c>
      <c r="C83" s="8">
        <f>Cycle_estimation!C26</f>
        <v>5839</v>
      </c>
      <c r="D83" t="s">
        <v>99</v>
      </c>
      <c r="E83" s="8">
        <f>Cycle_estimation_with_XEf!C26</f>
        <v>5076</v>
      </c>
      <c r="F83" t="s">
        <v>99</v>
      </c>
      <c r="G83" t="str">
        <f t="shared" si="8"/>
        <v>\textcolor{OliveGreen}{</v>
      </c>
      <c r="H83" s="9">
        <f t="shared" si="9"/>
        <v>-0.13067306045555746</v>
      </c>
      <c r="I83" t="str">
        <f>I82</f>
        <v>}\\</v>
      </c>
    </row>
    <row r="84" spans="1:9" x14ac:dyDescent="0.25">
      <c r="A84" t="s">
        <v>118</v>
      </c>
      <c r="B84" t="s">
        <v>99</v>
      </c>
      <c r="C84" s="8">
        <v>71044</v>
      </c>
      <c r="D84" t="s">
        <v>99</v>
      </c>
      <c r="E84" s="15"/>
      <c r="F84" t="s">
        <v>99</v>
      </c>
      <c r="G84" t="str">
        <f t="shared" si="8"/>
        <v>\textcolor{OliveGreen}{</v>
      </c>
      <c r="H84" s="9">
        <f t="shared" si="9"/>
        <v>-1</v>
      </c>
      <c r="I84" t="str">
        <f>I83</f>
        <v>}\\</v>
      </c>
    </row>
    <row r="85" spans="1:9" x14ac:dyDescent="0.25">
      <c r="A85" t="s">
        <v>119</v>
      </c>
      <c r="B85" t="s">
        <v>99</v>
      </c>
      <c r="C85" s="8">
        <v>13476</v>
      </c>
      <c r="D85" t="s">
        <v>99</v>
      </c>
      <c r="E85" s="15"/>
      <c r="F85" t="s">
        <v>99</v>
      </c>
      <c r="G85" t="str">
        <f t="shared" si="8"/>
        <v>\textcolor{OliveGreen}{</v>
      </c>
      <c r="H85" s="9">
        <f t="shared" si="9"/>
        <v>-1</v>
      </c>
      <c r="I85" t="str">
        <f>I84</f>
        <v>}\\</v>
      </c>
    </row>
    <row r="86" spans="1:9" x14ac:dyDescent="0.25">
      <c r="A86" t="s">
        <v>120</v>
      </c>
      <c r="B86" t="s">
        <v>99</v>
      </c>
      <c r="C86" s="8">
        <v>2</v>
      </c>
      <c r="D86" t="s">
        <v>99</v>
      </c>
      <c r="E86" s="15"/>
      <c r="F86" t="s">
        <v>99</v>
      </c>
      <c r="G86" t="str">
        <f t="shared" si="8"/>
        <v>\textcolor{OliveGreen}{</v>
      </c>
      <c r="H86" s="9">
        <f t="shared" si="9"/>
        <v>-1</v>
      </c>
      <c r="I86" t="str">
        <f>I85</f>
        <v>}\\</v>
      </c>
    </row>
    <row r="87" spans="1:9" x14ac:dyDescent="0.25">
      <c r="A87" t="s">
        <v>121</v>
      </c>
      <c r="B87" t="s">
        <v>99</v>
      </c>
      <c r="C87" s="8">
        <v>249</v>
      </c>
      <c r="D87" t="s">
        <v>99</v>
      </c>
      <c r="E87" s="15"/>
      <c r="F87" t="s">
        <v>99</v>
      </c>
      <c r="G87" t="str">
        <f>IF(H87&gt;0,"\textcolor{OliveGreen}{+","\textcolor{red}{")</f>
        <v>\textcolor{red}{</v>
      </c>
      <c r="H87" s="9">
        <f t="shared" si="9"/>
        <v>-1</v>
      </c>
      <c r="I87" t="str">
        <f>I86</f>
        <v>}\\</v>
      </c>
    </row>
    <row r="88" spans="1:9" x14ac:dyDescent="0.25">
      <c r="A88" t="s">
        <v>112</v>
      </c>
      <c r="B88" t="s">
        <v>99</v>
      </c>
      <c r="C88" s="16">
        <f>C82/C$87</f>
        <v>17.060240963855421</v>
      </c>
      <c r="D88" t="s">
        <v>99</v>
      </c>
      <c r="E88" s="17">
        <v>1</v>
      </c>
      <c r="F88" t="s">
        <v>99</v>
      </c>
      <c r="G88" t="str">
        <f>IF(H88&gt;0,"\textcolor{red}{+","\textcolor{OliveGreen}{")</f>
        <v>\textcolor{OliveGreen}{</v>
      </c>
      <c r="H88" s="9">
        <f t="shared" si="9"/>
        <v>-0.94138418079096042</v>
      </c>
      <c r="I88" t="str">
        <f>I85</f>
        <v>}\\</v>
      </c>
    </row>
    <row r="89" spans="1:9" x14ac:dyDescent="0.25">
      <c r="A89" t="s">
        <v>113</v>
      </c>
      <c r="B89" t="s">
        <v>99</v>
      </c>
      <c r="C89" s="16">
        <f>C83/C$87</f>
        <v>23.449799196787147</v>
      </c>
      <c r="D89" t="s">
        <v>99</v>
      </c>
      <c r="E89" s="17">
        <v>1</v>
      </c>
      <c r="F89" t="s">
        <v>99</v>
      </c>
      <c r="G89" t="str">
        <f>IF(H89&gt;0,"\textcolor{red}{+","\textcolor{OliveGreen}{")</f>
        <v>\textcolor{OliveGreen}{</v>
      </c>
      <c r="H89" s="9">
        <f t="shared" si="9"/>
        <v>-0.9573557115944511</v>
      </c>
      <c r="I89" t="str">
        <f>I88</f>
        <v>}\\</v>
      </c>
    </row>
    <row r="90" spans="1:9" x14ac:dyDescent="0.25">
      <c r="A90" t="s">
        <v>114</v>
      </c>
      <c r="B90" t="s">
        <v>99</v>
      </c>
      <c r="C90" s="8">
        <f>Results!B20</f>
        <v>48029</v>
      </c>
      <c r="D90" t="s">
        <v>99</v>
      </c>
      <c r="E90" s="8">
        <f>Results!B28</f>
        <v>43014</v>
      </c>
      <c r="F90" t="s">
        <v>99</v>
      </c>
      <c r="G90" t="str">
        <f>IF(H90&gt;0,"\textcolor{red}{+","\textcolor{OliveGreen}{")</f>
        <v>\textcolor{OliveGreen}{</v>
      </c>
      <c r="H90" s="9">
        <f t="shared" si="9"/>
        <v>-0.10441608195048825</v>
      </c>
      <c r="I90" t="str">
        <f>I89</f>
        <v>}\\</v>
      </c>
    </row>
    <row r="91" spans="1:9" x14ac:dyDescent="0.25">
      <c r="A91" t="s">
        <v>115</v>
      </c>
      <c r="B91" t="s">
        <v>99</v>
      </c>
      <c r="C91" s="8">
        <f>Results!E20</f>
        <v>108844</v>
      </c>
      <c r="D91" t="s">
        <v>99</v>
      </c>
      <c r="E91" s="8">
        <f>Results!E28</f>
        <v>96859</v>
      </c>
      <c r="F91" t="s">
        <v>99</v>
      </c>
      <c r="G91" t="str">
        <f>IF(H91&gt;0,"\textcolor{red}{+","\textcolor{OliveGreen}{")</f>
        <v>\textcolor{OliveGreen}{</v>
      </c>
      <c r="H91" s="9">
        <f t="shared" si="9"/>
        <v>-0.11011171952519201</v>
      </c>
      <c r="I91" t="str">
        <f>I90</f>
        <v>}\\</v>
      </c>
    </row>
    <row r="92" spans="1:9" x14ac:dyDescent="0.25">
      <c r="A92" t="s">
        <v>116</v>
      </c>
      <c r="B92" t="s">
        <v>99</v>
      </c>
      <c r="C92" s="8">
        <f>Results!D20</f>
        <v>6</v>
      </c>
      <c r="D92" t="s">
        <v>99</v>
      </c>
      <c r="E92" s="8">
        <f>Results!D28</f>
        <v>6</v>
      </c>
      <c r="F92" t="s">
        <v>99</v>
      </c>
      <c r="G92" t="str">
        <f>IF(H92&gt;0,"\textcolor{red}{+","\textcolor{OliveGreen}{")</f>
        <v>\textcolor{OliveGreen}{</v>
      </c>
      <c r="H92" s="9">
        <f t="shared" si="9"/>
        <v>0</v>
      </c>
      <c r="I92" t="str">
        <f>I91</f>
        <v>}\\</v>
      </c>
    </row>
    <row r="93" spans="1:9" x14ac:dyDescent="0.25">
      <c r="A93" t="s">
        <v>117</v>
      </c>
      <c r="B93" t="s">
        <v>99</v>
      </c>
      <c r="C93" s="8">
        <f>Results!F20</f>
        <v>194.7</v>
      </c>
      <c r="D93" t="s">
        <v>99</v>
      </c>
      <c r="E93" s="8">
        <f>Results!F28</f>
        <v>189.83</v>
      </c>
      <c r="F93" t="s">
        <v>99</v>
      </c>
      <c r="G93" t="str">
        <f>IF(H93&gt;0,"\textcolor{OliveGreen}{+","\textcolor{red}{")</f>
        <v>\textcolor{red}{</v>
      </c>
      <c r="H93" s="9">
        <f t="shared" si="9"/>
        <v>-2.5012840267077435E-2</v>
      </c>
      <c r="I93" t="str">
        <f>I92</f>
        <v>}\\</v>
      </c>
    </row>
    <row r="94" spans="1:9" x14ac:dyDescent="0.25">
      <c r="A94" t="s">
        <v>112</v>
      </c>
      <c r="B94" t="s">
        <v>99</v>
      </c>
      <c r="C94" s="16">
        <f>C82/(C$93)</f>
        <v>21.81818181818182</v>
      </c>
      <c r="D94" t="s">
        <v>99</v>
      </c>
      <c r="E94" s="16">
        <f>E82/E$93</f>
        <v>19.227730074276984</v>
      </c>
      <c r="F94" t="s">
        <v>99</v>
      </c>
      <c r="G94" t="str">
        <f>IF(H94&gt;0,"\textcolor{red}{+","\textcolor{OliveGreen}{")</f>
        <v>\textcolor{OliveGreen}{</v>
      </c>
      <c r="H94" s="9">
        <f t="shared" si="9"/>
        <v>-0.11872903826230498</v>
      </c>
      <c r="I94" t="str">
        <f>I91</f>
        <v>}\\</v>
      </c>
    </row>
    <row r="95" spans="1:9" x14ac:dyDescent="0.25">
      <c r="A95" t="s">
        <v>113</v>
      </c>
      <c r="B95" t="s">
        <v>99</v>
      </c>
      <c r="C95" s="16">
        <f>C83/(C$93)</f>
        <v>29.989727786337959</v>
      </c>
      <c r="D95" t="s">
        <v>99</v>
      </c>
      <c r="E95" s="16">
        <f>E83/E$93</f>
        <v>26.739714481378073</v>
      </c>
      <c r="F95" t="s">
        <v>99</v>
      </c>
      <c r="G95" t="str">
        <f>IF(H95&gt;0,"\textcolor{red}{+","\textcolor{OliveGreen}{")</f>
        <v>\textcolor{OliveGreen}{</v>
      </c>
      <c r="H95" s="9">
        <f t="shared" si="9"/>
        <v>-0.10837088379443222</v>
      </c>
      <c r="I95" t="str">
        <f>I94</f>
        <v>}\\</v>
      </c>
    </row>
    <row r="96" spans="1:9" s="13" customFormat="1" x14ac:dyDescent="0.25">
      <c r="A96" s="10" t="s">
        <v>98</v>
      </c>
      <c r="B96" s="10" t="s">
        <v>99</v>
      </c>
      <c r="C96" s="11" t="str">
        <f>Cycle_estimation!A27</f>
        <v>5PKE_0d</v>
      </c>
      <c r="D96" s="10" t="s">
        <v>99</v>
      </c>
      <c r="E96" s="11" t="str">
        <f>Cycle_estimation_with_XEf!A27</f>
        <v>5PKE_5d</v>
      </c>
      <c r="F96" s="10" t="s">
        <v>99</v>
      </c>
      <c r="G96"/>
      <c r="H96" s="12"/>
      <c r="I96" s="10" t="str">
        <f>I87</f>
        <v>}\\</v>
      </c>
    </row>
    <row r="97" spans="1:9" x14ac:dyDescent="0.25">
      <c r="A97" s="14" t="s">
        <v>101</v>
      </c>
      <c r="B97" t="s">
        <v>99</v>
      </c>
      <c r="C97" s="8">
        <v>1170</v>
      </c>
      <c r="D97" t="s">
        <v>99</v>
      </c>
      <c r="E97" s="8">
        <v>946</v>
      </c>
      <c r="F97" t="s">
        <v>99</v>
      </c>
      <c r="G97" t="str">
        <f t="shared" ref="G97:G105" si="10">IF(H97&gt;0,"\textcolor{red}{+","\textcolor{OliveGreen}{")</f>
        <v>\textcolor{OliveGreen}{</v>
      </c>
      <c r="H97" s="9">
        <f t="shared" ref="H97:H114" si="11">(E97-C97)/C97</f>
        <v>-0.19145299145299147</v>
      </c>
      <c r="I97" t="s">
        <v>102</v>
      </c>
    </row>
    <row r="98" spans="1:9" x14ac:dyDescent="0.25">
      <c r="A98" s="14" t="s">
        <v>103</v>
      </c>
      <c r="B98" t="s">
        <v>99</v>
      </c>
      <c r="C98" s="8">
        <v>1349</v>
      </c>
      <c r="D98" t="s">
        <v>99</v>
      </c>
      <c r="E98" s="8">
        <v>978</v>
      </c>
      <c r="F98" t="s">
        <v>99</v>
      </c>
      <c r="G98" t="str">
        <f t="shared" si="10"/>
        <v>\textcolor{OliveGreen}{</v>
      </c>
      <c r="H98" s="9">
        <f t="shared" si="11"/>
        <v>-0.27501853224610823</v>
      </c>
      <c r="I98" t="s">
        <v>102</v>
      </c>
    </row>
    <row r="99" spans="1:9" x14ac:dyDescent="0.25">
      <c r="A99" s="14" t="s">
        <v>104</v>
      </c>
      <c r="B99" t="s">
        <v>99</v>
      </c>
      <c r="C99" s="8">
        <v>1413</v>
      </c>
      <c r="D99" t="s">
        <v>99</v>
      </c>
      <c r="E99" s="8">
        <v>1042</v>
      </c>
      <c r="F99" t="s">
        <v>99</v>
      </c>
      <c r="G99" t="str">
        <f t="shared" si="10"/>
        <v>\textcolor{OliveGreen}{</v>
      </c>
      <c r="H99" s="9">
        <f t="shared" si="11"/>
        <v>-0.26256192498230713</v>
      </c>
      <c r="I99" t="s">
        <v>102</v>
      </c>
    </row>
    <row r="100" spans="1:9" x14ac:dyDescent="0.25">
      <c r="A100" s="14" t="s">
        <v>105</v>
      </c>
      <c r="B100" t="s">
        <v>99</v>
      </c>
      <c r="C100" s="8">
        <v>1525</v>
      </c>
      <c r="D100" t="s">
        <v>99</v>
      </c>
      <c r="E100" s="8">
        <v>1301</v>
      </c>
      <c r="F100" t="s">
        <v>99</v>
      </c>
      <c r="G100" t="str">
        <f t="shared" si="10"/>
        <v>\textcolor{OliveGreen}{</v>
      </c>
      <c r="H100" s="9">
        <f t="shared" si="11"/>
        <v>-0.14688524590163934</v>
      </c>
      <c r="I100" t="s">
        <v>102</v>
      </c>
    </row>
    <row r="101" spans="1:9" x14ac:dyDescent="0.25">
      <c r="A101" t="s">
        <v>106</v>
      </c>
      <c r="B101" t="s">
        <v>99</v>
      </c>
      <c r="C101" s="8">
        <f>Cycle_estimation!B27</f>
        <v>5836</v>
      </c>
      <c r="D101" t="s">
        <v>99</v>
      </c>
      <c r="E101" s="8">
        <f>Cycle_estimation_with_XEf!B27</f>
        <v>4509</v>
      </c>
      <c r="F101" t="s">
        <v>99</v>
      </c>
      <c r="G101" t="str">
        <f t="shared" si="10"/>
        <v>\textcolor{OliveGreen}{</v>
      </c>
      <c r="H101" s="9">
        <f t="shared" si="11"/>
        <v>-0.22738176833447568</v>
      </c>
      <c r="I101" t="str">
        <f>I96</f>
        <v>}\\</v>
      </c>
    </row>
    <row r="102" spans="1:9" x14ac:dyDescent="0.25">
      <c r="A102" t="s">
        <v>107</v>
      </c>
      <c r="B102" t="s">
        <v>99</v>
      </c>
      <c r="C102" s="8">
        <f>Cycle_estimation!C27</f>
        <v>7999</v>
      </c>
      <c r="D102" t="s">
        <v>99</v>
      </c>
      <c r="E102" s="8">
        <f>Cycle_estimation_with_XEf!C27</f>
        <v>6301</v>
      </c>
      <c r="F102" t="s">
        <v>99</v>
      </c>
      <c r="G102" t="str">
        <f t="shared" si="10"/>
        <v>\textcolor{OliveGreen}{</v>
      </c>
      <c r="H102" s="9">
        <f t="shared" si="11"/>
        <v>-0.21227653456682086</v>
      </c>
      <c r="I102" t="str">
        <f>I101</f>
        <v>}\\</v>
      </c>
    </row>
    <row r="103" spans="1:9" x14ac:dyDescent="0.25">
      <c r="A103" t="s">
        <v>118</v>
      </c>
      <c r="B103" t="s">
        <v>99</v>
      </c>
      <c r="C103" s="8">
        <v>99315</v>
      </c>
      <c r="D103" t="s">
        <v>99</v>
      </c>
      <c r="E103" s="15"/>
      <c r="F103" t="s">
        <v>99</v>
      </c>
      <c r="G103" t="str">
        <f t="shared" si="10"/>
        <v>\textcolor{OliveGreen}{</v>
      </c>
      <c r="H103" s="9">
        <f t="shared" si="11"/>
        <v>-1</v>
      </c>
      <c r="I103" t="str">
        <f>I102</f>
        <v>}\\</v>
      </c>
    </row>
    <row r="104" spans="1:9" x14ac:dyDescent="0.25">
      <c r="A104" t="s">
        <v>119</v>
      </c>
      <c r="B104" t="s">
        <v>99</v>
      </c>
      <c r="C104" s="8">
        <v>17676</v>
      </c>
      <c r="D104" t="s">
        <v>99</v>
      </c>
      <c r="E104" s="15"/>
      <c r="F104" t="s">
        <v>99</v>
      </c>
      <c r="G104" t="str">
        <f t="shared" si="10"/>
        <v>\textcolor{OliveGreen}{</v>
      </c>
      <c r="H104" s="9">
        <f t="shared" si="11"/>
        <v>-1</v>
      </c>
      <c r="I104" t="str">
        <f>I103</f>
        <v>}\\</v>
      </c>
    </row>
    <row r="105" spans="1:9" x14ac:dyDescent="0.25">
      <c r="A105" t="s">
        <v>120</v>
      </c>
      <c r="B105" t="s">
        <v>99</v>
      </c>
      <c r="C105" s="8">
        <v>2</v>
      </c>
      <c r="D105" t="s">
        <v>99</v>
      </c>
      <c r="E105" s="15"/>
      <c r="F105" t="s">
        <v>99</v>
      </c>
      <c r="G105" t="str">
        <f t="shared" si="10"/>
        <v>\textcolor{OliveGreen}{</v>
      </c>
      <c r="H105" s="9">
        <f t="shared" si="11"/>
        <v>-1</v>
      </c>
      <c r="I105" t="str">
        <f>I104</f>
        <v>}\\</v>
      </c>
    </row>
    <row r="106" spans="1:9" x14ac:dyDescent="0.25">
      <c r="A106" t="s">
        <v>121</v>
      </c>
      <c r="B106" t="s">
        <v>99</v>
      </c>
      <c r="C106" s="8">
        <v>240</v>
      </c>
      <c r="D106" t="s">
        <v>99</v>
      </c>
      <c r="E106" s="15"/>
      <c r="F106" t="s">
        <v>99</v>
      </c>
      <c r="G106" t="str">
        <f>IF(H106&gt;0,"\textcolor{OliveGreen}{+","\textcolor{red}{")</f>
        <v>\textcolor{red}{</v>
      </c>
      <c r="H106" s="9">
        <f t="shared" si="11"/>
        <v>-1</v>
      </c>
      <c r="I106" t="str">
        <f>I105</f>
        <v>}\\</v>
      </c>
    </row>
    <row r="107" spans="1:9" x14ac:dyDescent="0.25">
      <c r="A107" t="s">
        <v>112</v>
      </c>
      <c r="B107" t="s">
        <v>99</v>
      </c>
      <c r="C107" s="16">
        <f>C101/C$106</f>
        <v>24.316666666666666</v>
      </c>
      <c r="D107" t="s">
        <v>99</v>
      </c>
      <c r="E107" s="17">
        <v>1</v>
      </c>
      <c r="F107" t="s">
        <v>99</v>
      </c>
      <c r="G107" t="str">
        <f>IF(H107&gt;0,"\textcolor{red}{+","\textcolor{OliveGreen}{")</f>
        <v>\textcolor{OliveGreen}{</v>
      </c>
      <c r="H107" s="9">
        <f t="shared" si="11"/>
        <v>-0.95887594242631935</v>
      </c>
      <c r="I107" t="str">
        <f>I104</f>
        <v>}\\</v>
      </c>
    </row>
    <row r="108" spans="1:9" x14ac:dyDescent="0.25">
      <c r="A108" t="s">
        <v>113</v>
      </c>
      <c r="B108" t="s">
        <v>99</v>
      </c>
      <c r="C108" s="16">
        <f>C102/C$106</f>
        <v>33.329166666666666</v>
      </c>
      <c r="D108" t="s">
        <v>99</v>
      </c>
      <c r="E108" s="17">
        <v>1</v>
      </c>
      <c r="F108" t="s">
        <v>99</v>
      </c>
      <c r="G108" t="str">
        <f>IF(H108&gt;0,"\textcolor{red}{+","\textcolor{OliveGreen}{")</f>
        <v>\textcolor{OliveGreen}{</v>
      </c>
      <c r="H108" s="9">
        <f t="shared" si="11"/>
        <v>-0.96999624953119135</v>
      </c>
      <c r="I108" t="str">
        <f>I107</f>
        <v>}\\</v>
      </c>
    </row>
    <row r="109" spans="1:9" x14ac:dyDescent="0.25">
      <c r="A109" t="s">
        <v>114</v>
      </c>
      <c r="B109" t="s">
        <v>99</v>
      </c>
      <c r="C109" s="8">
        <f>Results!B21</f>
        <v>69727</v>
      </c>
      <c r="D109" t="s">
        <v>99</v>
      </c>
      <c r="E109" s="8">
        <f>Results!B29</f>
        <v>50373</v>
      </c>
      <c r="F109" t="s">
        <v>99</v>
      </c>
      <c r="G109" t="str">
        <f>IF(H109&gt;0,"\textcolor{red}{+","\textcolor{OliveGreen}{")</f>
        <v>\textcolor{OliveGreen}{</v>
      </c>
      <c r="H109" s="9">
        <f t="shared" si="11"/>
        <v>-0.27756823038421269</v>
      </c>
      <c r="I109" t="str">
        <f>I108</f>
        <v>}\\</v>
      </c>
    </row>
    <row r="110" spans="1:9" x14ac:dyDescent="0.25">
      <c r="A110" t="s">
        <v>115</v>
      </c>
      <c r="B110" t="s">
        <v>99</v>
      </c>
      <c r="C110" s="8">
        <f>Results!E21</f>
        <v>157660</v>
      </c>
      <c r="D110" t="s">
        <v>99</v>
      </c>
      <c r="E110" s="8">
        <f>Results!E29</f>
        <v>112311</v>
      </c>
      <c r="F110" t="s">
        <v>99</v>
      </c>
      <c r="G110" t="str">
        <f>IF(H110&gt;0,"\textcolor{red}{+","\textcolor{OliveGreen}{")</f>
        <v>\textcolor{OliveGreen}{</v>
      </c>
      <c r="H110" s="9">
        <f t="shared" si="11"/>
        <v>-0.28763795509323864</v>
      </c>
      <c r="I110" t="str">
        <f>I109</f>
        <v>}\\</v>
      </c>
    </row>
    <row r="111" spans="1:9" x14ac:dyDescent="0.25">
      <c r="A111" t="s">
        <v>116</v>
      </c>
      <c r="B111" t="s">
        <v>99</v>
      </c>
      <c r="C111" s="8">
        <f>Results!D21</f>
        <v>6</v>
      </c>
      <c r="D111" t="s">
        <v>99</v>
      </c>
      <c r="E111" s="8">
        <f>Results!D29</f>
        <v>6</v>
      </c>
      <c r="F111" t="s">
        <v>99</v>
      </c>
      <c r="G111" t="str">
        <f>IF(H111&gt;0,"\textcolor{red}{+","\textcolor{OliveGreen}{")</f>
        <v>\textcolor{OliveGreen}{</v>
      </c>
      <c r="H111" s="9">
        <f t="shared" si="11"/>
        <v>0</v>
      </c>
      <c r="I111" t="str">
        <f>I110</f>
        <v>}\\</v>
      </c>
    </row>
    <row r="112" spans="1:9" x14ac:dyDescent="0.25">
      <c r="A112" t="s">
        <v>117</v>
      </c>
      <c r="B112" t="s">
        <v>99</v>
      </c>
      <c r="C112" s="8">
        <f>Results!F21</f>
        <v>187.55</v>
      </c>
      <c r="D112" t="s">
        <v>99</v>
      </c>
      <c r="E112" s="8">
        <f>Results!F29</f>
        <v>197.23</v>
      </c>
      <c r="F112" t="s">
        <v>99</v>
      </c>
      <c r="G112" t="str">
        <f>IF(H112&gt;0,"\textcolor{OliveGreen}{+","\textcolor{red}{")</f>
        <v>\textcolor{OliveGreen}{+</v>
      </c>
      <c r="H112" s="9">
        <f t="shared" si="11"/>
        <v>5.1612903225806334E-2</v>
      </c>
      <c r="I112" t="str">
        <f>I111</f>
        <v>}\\</v>
      </c>
    </row>
    <row r="113" spans="1:9" x14ac:dyDescent="0.25">
      <c r="A113" t="s">
        <v>112</v>
      </c>
      <c r="B113" t="s">
        <v>99</v>
      </c>
      <c r="C113" s="16">
        <f>C101/(C$112)</f>
        <v>31.117035457211408</v>
      </c>
      <c r="D113" t="s">
        <v>99</v>
      </c>
      <c r="E113" s="16">
        <f>E101/E$112</f>
        <v>22.86163362571617</v>
      </c>
      <c r="F113" t="s">
        <v>99</v>
      </c>
      <c r="G113" t="str">
        <f>IF(H113&gt;0,"\textcolor{red}{+","\textcolor{OliveGreen}{")</f>
        <v>\textcolor{OliveGreen}{</v>
      </c>
      <c r="H113" s="9">
        <f t="shared" si="11"/>
        <v>-0.26530168154505346</v>
      </c>
      <c r="I113" t="str">
        <f>I110</f>
        <v>}\\</v>
      </c>
    </row>
    <row r="114" spans="1:9" x14ac:dyDescent="0.25">
      <c r="A114" t="s">
        <v>113</v>
      </c>
      <c r="B114" t="s">
        <v>99</v>
      </c>
      <c r="C114" s="16">
        <f>C102/(C$112)</f>
        <v>42.649960010663818</v>
      </c>
      <c r="D114" t="s">
        <v>99</v>
      </c>
      <c r="E114" s="16">
        <f>E102/E$112</f>
        <v>31.94747249404249</v>
      </c>
      <c r="F114" t="s">
        <v>99</v>
      </c>
      <c r="G114" t="str">
        <f>IF(H114&gt;0,"\textcolor{red}{+","\textcolor{OliveGreen}{")</f>
        <v>\textcolor{OliveGreen}{</v>
      </c>
      <c r="H114" s="9">
        <f t="shared" si="11"/>
        <v>-0.25093780894390927</v>
      </c>
      <c r="I114" t="str">
        <f>I113</f>
        <v>}\\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topLeftCell="F1" workbookViewId="0">
      <selection activeCell="A2" sqref="A2:P13"/>
    </sheetView>
  </sheetViews>
  <sheetFormatPr defaultRowHeight="15" x14ac:dyDescent="0.25"/>
  <cols>
    <col min="1" max="1" width="13.85546875" customWidth="1"/>
    <col min="2" max="2" width="8.5703125" customWidth="1"/>
    <col min="3" max="3" width="8.5703125" style="8" customWidth="1"/>
    <col min="4" max="4" width="8.5703125" customWidth="1"/>
    <col min="5" max="5" width="8.5703125" style="8" customWidth="1"/>
    <col min="6" max="6" width="8.5703125" customWidth="1"/>
    <col min="7" max="7" width="17" customWidth="1"/>
    <col min="8" max="13" width="9.28515625" style="9" customWidth="1"/>
    <col min="14" max="14" width="17.5703125" style="9" customWidth="1"/>
    <col min="15" max="15" width="18.7109375" style="9" customWidth="1"/>
    <col min="16" max="1032" width="8.5703125" customWidth="1"/>
  </cols>
  <sheetData>
    <row r="1" spans="1:16" s="13" customFormat="1" x14ac:dyDescent="0.25">
      <c r="A1" s="10" t="s">
        <v>98</v>
      </c>
      <c r="B1" s="10" t="s">
        <v>99</v>
      </c>
      <c r="C1" s="11" t="str">
        <f>Cycle_estimation!A20</f>
        <v>1KEM_0d</v>
      </c>
      <c r="D1" s="10" t="s">
        <v>99</v>
      </c>
      <c r="E1" s="11" t="str">
        <f>Cycle_estimation_with_XEf!A20</f>
        <v>1KEM_5d</v>
      </c>
      <c r="F1" s="10" t="s">
        <v>99</v>
      </c>
      <c r="G1" s="10"/>
      <c r="H1" s="12" t="s">
        <v>100</v>
      </c>
      <c r="I1" s="12" t="s">
        <v>99</v>
      </c>
      <c r="J1" s="11" t="s">
        <v>13</v>
      </c>
      <c r="K1" s="10" t="s">
        <v>99</v>
      </c>
      <c r="L1" s="11" t="s">
        <v>78</v>
      </c>
      <c r="M1" s="10" t="s">
        <v>99</v>
      </c>
      <c r="N1" s="12" t="s">
        <v>100</v>
      </c>
      <c r="O1" s="21" t="s">
        <v>123</v>
      </c>
    </row>
    <row r="2" spans="1:16" x14ac:dyDescent="0.25">
      <c r="A2" s="14" t="s">
        <v>101</v>
      </c>
      <c r="B2" t="s">
        <v>99</v>
      </c>
      <c r="C2" s="8">
        <v>618</v>
      </c>
      <c r="D2" t="s">
        <v>99</v>
      </c>
      <c r="E2" s="8">
        <v>490</v>
      </c>
      <c r="F2" t="s">
        <v>99</v>
      </c>
      <c r="G2" t="str">
        <f t="shared" ref="G2:G10" si="0">IF(H2&gt;0,"\textcolor{red}{+","\textcolor{OliveGreen}{")</f>
        <v>\textcolor{OliveGreen}{</v>
      </c>
      <c r="H2" s="9">
        <f t="shared" ref="H2:H19" si="1">(E2-C2)/C2</f>
        <v>-0.20711974110032363</v>
      </c>
      <c r="I2" s="9" t="s">
        <v>124</v>
      </c>
      <c r="J2" s="8">
        <v>586</v>
      </c>
      <c r="K2" t="s">
        <v>99</v>
      </c>
      <c r="L2" s="8">
        <v>508</v>
      </c>
      <c r="M2" t="s">
        <v>99</v>
      </c>
      <c r="N2" t="s">
        <v>125</v>
      </c>
      <c r="O2" s="9">
        <f>(L2-J2)/J2</f>
        <v>-0.13310580204778158</v>
      </c>
      <c r="P2" t="s">
        <v>102</v>
      </c>
    </row>
    <row r="3" spans="1:16" x14ac:dyDescent="0.25">
      <c r="A3" s="14" t="s">
        <v>103</v>
      </c>
      <c r="B3" t="s">
        <v>99</v>
      </c>
      <c r="C3" s="8">
        <v>634</v>
      </c>
      <c r="D3" t="s">
        <v>99</v>
      </c>
      <c r="E3" s="8">
        <v>445</v>
      </c>
      <c r="F3" t="s">
        <v>99</v>
      </c>
      <c r="G3" t="str">
        <f t="shared" si="0"/>
        <v>\textcolor{OliveGreen}{</v>
      </c>
      <c r="H3" s="9">
        <f t="shared" si="1"/>
        <v>-0.29810725552050471</v>
      </c>
      <c r="I3" s="9" t="s">
        <v>124</v>
      </c>
      <c r="J3" s="8">
        <v>676</v>
      </c>
      <c r="K3" t="s">
        <v>99</v>
      </c>
      <c r="L3" s="8">
        <v>461</v>
      </c>
      <c r="M3" t="s">
        <v>99</v>
      </c>
      <c r="N3" t="s">
        <v>125</v>
      </c>
      <c r="O3" s="9">
        <f t="shared" ref="O3:O57" si="2">(L3-J3)/J3</f>
        <v>-0.31804733727810652</v>
      </c>
      <c r="P3" t="s">
        <v>102</v>
      </c>
    </row>
    <row r="4" spans="1:16" x14ac:dyDescent="0.25">
      <c r="A4" s="14" t="s">
        <v>104</v>
      </c>
      <c r="B4" t="s">
        <v>99</v>
      </c>
      <c r="C4" s="8">
        <v>16</v>
      </c>
      <c r="D4" t="s">
        <v>99</v>
      </c>
      <c r="E4" s="8">
        <v>16</v>
      </c>
      <c r="F4" t="s">
        <v>99</v>
      </c>
      <c r="G4" t="str">
        <f t="shared" si="0"/>
        <v>\textcolor{OliveGreen}{</v>
      </c>
      <c r="H4" s="9">
        <f t="shared" si="1"/>
        <v>0</v>
      </c>
      <c r="I4" s="9" t="s">
        <v>124</v>
      </c>
      <c r="J4" s="8">
        <v>708</v>
      </c>
      <c r="K4" t="s">
        <v>99</v>
      </c>
      <c r="L4" s="8">
        <v>493</v>
      </c>
      <c r="M4" t="s">
        <v>99</v>
      </c>
      <c r="N4" t="s">
        <v>125</v>
      </c>
      <c r="O4" s="9">
        <f t="shared" si="2"/>
        <v>-0.3036723163841808</v>
      </c>
      <c r="P4" t="s">
        <v>102</v>
      </c>
    </row>
    <row r="5" spans="1:16" x14ac:dyDescent="0.25">
      <c r="A5" s="14" t="s">
        <v>105</v>
      </c>
      <c r="B5" t="s">
        <v>99</v>
      </c>
      <c r="C5" s="8">
        <v>682</v>
      </c>
      <c r="D5" t="s">
        <v>99</v>
      </c>
      <c r="E5" s="8">
        <v>549</v>
      </c>
      <c r="F5" t="s">
        <v>99</v>
      </c>
      <c r="G5" t="str">
        <f t="shared" si="0"/>
        <v>\textcolor{OliveGreen}{</v>
      </c>
      <c r="H5" s="9">
        <f t="shared" si="1"/>
        <v>-0.19501466275659823</v>
      </c>
      <c r="I5" s="9" t="s">
        <v>124</v>
      </c>
      <c r="J5" s="8">
        <v>756</v>
      </c>
      <c r="K5" t="s">
        <v>99</v>
      </c>
      <c r="L5" s="8">
        <v>636</v>
      </c>
      <c r="M5" t="s">
        <v>99</v>
      </c>
      <c r="N5" t="s">
        <v>125</v>
      </c>
      <c r="O5" s="9">
        <f t="shared" si="2"/>
        <v>-0.15873015873015872</v>
      </c>
      <c r="P5" t="s">
        <v>102</v>
      </c>
    </row>
    <row r="6" spans="1:16" x14ac:dyDescent="0.25">
      <c r="A6" t="s">
        <v>106</v>
      </c>
      <c r="B6" t="s">
        <v>99</v>
      </c>
      <c r="C6" s="8">
        <f>Cycle_estimation!B20</f>
        <v>2985</v>
      </c>
      <c r="D6" t="s">
        <v>99</v>
      </c>
      <c r="E6" s="8">
        <f>Cycle_estimation_with_XEf!B20</f>
        <v>2219</v>
      </c>
      <c r="F6" t="s">
        <v>99</v>
      </c>
      <c r="G6" t="str">
        <f t="shared" si="0"/>
        <v>\textcolor{OliveGreen}{</v>
      </c>
      <c r="H6" s="9">
        <f t="shared" si="1"/>
        <v>-0.25661641541038527</v>
      </c>
      <c r="I6" s="9" t="s">
        <v>124</v>
      </c>
      <c r="J6" s="8">
        <v>2990</v>
      </c>
      <c r="K6" t="s">
        <v>99</v>
      </c>
      <c r="L6" s="22">
        <v>2423</v>
      </c>
      <c r="M6" t="s">
        <v>99</v>
      </c>
      <c r="N6" t="s">
        <v>125</v>
      </c>
      <c r="O6" s="9">
        <f t="shared" si="2"/>
        <v>-0.18963210702341138</v>
      </c>
      <c r="P6" t="s">
        <v>102</v>
      </c>
    </row>
    <row r="7" spans="1:16" x14ac:dyDescent="0.25">
      <c r="A7" t="s">
        <v>107</v>
      </c>
      <c r="B7" t="s">
        <v>99</v>
      </c>
      <c r="C7" s="8">
        <f>Cycle_estimation!C20</f>
        <v>1480</v>
      </c>
      <c r="D7" t="s">
        <v>99</v>
      </c>
      <c r="E7" s="22">
        <f>Cycle_estimation_with_XEf!C20</f>
        <v>1200</v>
      </c>
      <c r="F7" t="s">
        <v>99</v>
      </c>
      <c r="G7" t="str">
        <f t="shared" si="0"/>
        <v>\textcolor{OliveGreen}{</v>
      </c>
      <c r="H7" s="9">
        <f t="shared" si="1"/>
        <v>-0.1891891891891892</v>
      </c>
      <c r="I7" s="9" t="s">
        <v>124</v>
      </c>
      <c r="J7" s="8">
        <v>4063</v>
      </c>
      <c r="K7" t="s">
        <v>99</v>
      </c>
      <c r="L7" s="22">
        <v>3395</v>
      </c>
      <c r="M7" t="s">
        <v>99</v>
      </c>
      <c r="N7" t="s">
        <v>125</v>
      </c>
      <c r="O7" s="9">
        <f t="shared" si="2"/>
        <v>-0.16441053408811224</v>
      </c>
      <c r="P7" t="str">
        <f>P6</f>
        <v>}\\</v>
      </c>
    </row>
    <row r="8" spans="1:16" x14ac:dyDescent="0.25">
      <c r="A8" t="s">
        <v>118</v>
      </c>
      <c r="B8" t="s">
        <v>99</v>
      </c>
      <c r="C8" s="8">
        <v>45521</v>
      </c>
      <c r="D8" t="s">
        <v>99</v>
      </c>
      <c r="E8" s="22">
        <v>36436</v>
      </c>
      <c r="F8" t="s">
        <v>99</v>
      </c>
      <c r="G8" t="str">
        <f t="shared" si="0"/>
        <v>\textcolor{OliveGreen}{</v>
      </c>
      <c r="H8" s="9">
        <f t="shared" si="1"/>
        <v>-0.19957821664726169</v>
      </c>
      <c r="I8" s="9" t="s">
        <v>124</v>
      </c>
      <c r="J8" s="8">
        <v>52587</v>
      </c>
      <c r="K8" t="s">
        <v>99</v>
      </c>
      <c r="L8" s="22">
        <v>38749</v>
      </c>
      <c r="M8" t="s">
        <v>99</v>
      </c>
      <c r="N8" t="s">
        <v>125</v>
      </c>
      <c r="O8" s="9">
        <f t="shared" si="2"/>
        <v>-0.2631448837165079</v>
      </c>
      <c r="P8" t="str">
        <f>P7</f>
        <v>}\\</v>
      </c>
    </row>
    <row r="9" spans="1:16" x14ac:dyDescent="0.25">
      <c r="A9" t="s">
        <v>119</v>
      </c>
      <c r="B9" t="s">
        <v>99</v>
      </c>
      <c r="C9" s="8">
        <v>10032</v>
      </c>
      <c r="D9" t="s">
        <v>99</v>
      </c>
      <c r="E9" s="22">
        <v>7464</v>
      </c>
      <c r="F9" t="s">
        <v>99</v>
      </c>
      <c r="G9" t="str">
        <f t="shared" si="0"/>
        <v>\textcolor{OliveGreen}{</v>
      </c>
      <c r="H9" s="9">
        <f t="shared" si="1"/>
        <v>-0.25598086124401914</v>
      </c>
      <c r="I9" s="9" t="s">
        <v>124</v>
      </c>
      <c r="J9" s="8">
        <v>10674</v>
      </c>
      <c r="K9" t="s">
        <v>99</v>
      </c>
      <c r="L9" s="22">
        <v>8099</v>
      </c>
      <c r="M9" t="s">
        <v>99</v>
      </c>
      <c r="N9" t="s">
        <v>125</v>
      </c>
      <c r="O9" s="9">
        <f t="shared" si="2"/>
        <v>-0.24124039722690649</v>
      </c>
      <c r="P9" t="str">
        <f>P8</f>
        <v>}\\</v>
      </c>
    </row>
    <row r="10" spans="1:16" x14ac:dyDescent="0.25">
      <c r="A10" t="s">
        <v>120</v>
      </c>
      <c r="B10" t="s">
        <v>99</v>
      </c>
      <c r="C10" s="8">
        <v>2</v>
      </c>
      <c r="D10" t="s">
        <v>99</v>
      </c>
      <c r="E10" s="22">
        <v>2</v>
      </c>
      <c r="F10" t="s">
        <v>99</v>
      </c>
      <c r="G10" t="str">
        <f t="shared" si="0"/>
        <v>\textcolor{OliveGreen}{</v>
      </c>
      <c r="H10" s="9">
        <f t="shared" si="1"/>
        <v>0</v>
      </c>
      <c r="I10" s="9" t="s">
        <v>124</v>
      </c>
      <c r="J10" s="8">
        <v>2</v>
      </c>
      <c r="K10" t="s">
        <v>99</v>
      </c>
      <c r="L10" s="22">
        <v>2</v>
      </c>
      <c r="M10" t="s">
        <v>99</v>
      </c>
      <c r="N10" t="s">
        <v>125</v>
      </c>
      <c r="O10" s="9">
        <f t="shared" si="2"/>
        <v>0</v>
      </c>
      <c r="P10" t="str">
        <f>P9</f>
        <v>}\\</v>
      </c>
    </row>
    <row r="11" spans="1:16" x14ac:dyDescent="0.25">
      <c r="A11" t="s">
        <v>128</v>
      </c>
      <c r="B11" t="s">
        <v>99</v>
      </c>
      <c r="C11" s="8">
        <v>260</v>
      </c>
      <c r="D11" t="s">
        <v>99</v>
      </c>
      <c r="E11" s="22">
        <v>230</v>
      </c>
      <c r="F11" t="s">
        <v>99</v>
      </c>
      <c r="G11" t="str">
        <f>IF(H11&gt;0,"\textcolor{OliveGreen}{+","\textcolor{red}{")</f>
        <v>\textcolor{red}{</v>
      </c>
      <c r="H11" s="9">
        <f t="shared" si="1"/>
        <v>-0.11538461538461539</v>
      </c>
      <c r="I11" s="9" t="s">
        <v>124</v>
      </c>
      <c r="J11" s="8">
        <v>260</v>
      </c>
      <c r="K11" t="s">
        <v>99</v>
      </c>
      <c r="L11" s="22">
        <v>225</v>
      </c>
      <c r="M11" t="s">
        <v>99</v>
      </c>
      <c r="N11" t="s">
        <v>126</v>
      </c>
      <c r="O11" s="9">
        <f t="shared" si="2"/>
        <v>-0.13461538461538461</v>
      </c>
      <c r="P11" t="str">
        <f>P10</f>
        <v>}\\</v>
      </c>
    </row>
    <row r="12" spans="1:16" x14ac:dyDescent="0.25">
      <c r="A12" t="s">
        <v>112</v>
      </c>
      <c r="B12" t="s">
        <v>99</v>
      </c>
      <c r="C12" s="16">
        <f>C6/(C$11)</f>
        <v>11.48076923076923</v>
      </c>
      <c r="D12" t="s">
        <v>99</v>
      </c>
      <c r="E12" s="23">
        <f>E6/E11</f>
        <v>9.6478260869565222</v>
      </c>
      <c r="F12" t="s">
        <v>99</v>
      </c>
      <c r="G12" t="str">
        <f>IF(H12&gt;0,"\textcolor{red}{+","\textcolor{OliveGreen}{")</f>
        <v>\textcolor{OliveGreen}{</v>
      </c>
      <c r="H12" s="9">
        <f t="shared" si="1"/>
        <v>-0.15965333915956584</v>
      </c>
      <c r="I12" s="9" t="s">
        <v>124</v>
      </c>
      <c r="J12" s="16">
        <v>11.5</v>
      </c>
      <c r="K12" t="s">
        <v>99</v>
      </c>
      <c r="L12" s="23">
        <f>L6/L11</f>
        <v>10.768888888888888</v>
      </c>
      <c r="M12" t="s">
        <v>99</v>
      </c>
      <c r="N12" t="s">
        <v>125</v>
      </c>
      <c r="O12" s="9">
        <f t="shared" si="2"/>
        <v>-6.3574879227053196E-2</v>
      </c>
      <c r="P12" t="str">
        <f>P9</f>
        <v>}\\</v>
      </c>
    </row>
    <row r="13" spans="1:16" x14ac:dyDescent="0.25">
      <c r="A13" t="s">
        <v>113</v>
      </c>
      <c r="B13" t="s">
        <v>99</v>
      </c>
      <c r="C13" s="16">
        <f>C7/(C$11)</f>
        <v>5.6923076923076925</v>
      </c>
      <c r="D13" t="s">
        <v>99</v>
      </c>
      <c r="E13" s="23">
        <f>E7/E11</f>
        <v>5.2173913043478262</v>
      </c>
      <c r="F13" t="s">
        <v>99</v>
      </c>
      <c r="G13" t="str">
        <f>IF(H13&gt;0,"\textcolor{red}{+","\textcolor{OliveGreen}{")</f>
        <v>\textcolor{OliveGreen}{</v>
      </c>
      <c r="H13" s="9">
        <f t="shared" si="1"/>
        <v>-8.3431257344300847E-2</v>
      </c>
      <c r="I13" s="9" t="s">
        <v>124</v>
      </c>
      <c r="J13" s="16">
        <v>15.626923076923077</v>
      </c>
      <c r="K13" t="s">
        <v>99</v>
      </c>
      <c r="L13" s="23">
        <f>L7/L11</f>
        <v>15.088888888888889</v>
      </c>
      <c r="M13" t="s">
        <v>99</v>
      </c>
      <c r="N13" t="s">
        <v>125</v>
      </c>
      <c r="O13" s="9">
        <f t="shared" si="2"/>
        <v>-3.4429950501818629E-2</v>
      </c>
      <c r="P13" t="str">
        <f>P12</f>
        <v>}\\</v>
      </c>
    </row>
    <row r="14" spans="1:16" x14ac:dyDescent="0.25">
      <c r="A14" t="s">
        <v>114</v>
      </c>
      <c r="B14" t="s">
        <v>99</v>
      </c>
      <c r="C14" s="8">
        <f>Results!B16</f>
        <v>33036</v>
      </c>
      <c r="D14" t="s">
        <v>99</v>
      </c>
      <c r="E14" s="8">
        <f>Results!B24</f>
        <v>24192</v>
      </c>
      <c r="F14" t="s">
        <v>99</v>
      </c>
      <c r="G14" t="str">
        <f>IF(H14&gt;0,"\textcolor{red}{+","\textcolor{OliveGreen}{")</f>
        <v>\textcolor{OliveGreen}{</v>
      </c>
      <c r="H14" s="9">
        <f t="shared" si="1"/>
        <v>-0.26770795495822741</v>
      </c>
      <c r="I14" s="9" t="s">
        <v>124</v>
      </c>
      <c r="J14" s="8">
        <v>37252</v>
      </c>
      <c r="K14" t="s">
        <v>99</v>
      </c>
      <c r="L14" s="22">
        <v>26998</v>
      </c>
      <c r="M14" t="s">
        <v>99</v>
      </c>
      <c r="N14" t="s">
        <v>125</v>
      </c>
      <c r="O14" s="9">
        <f t="shared" si="2"/>
        <v>-0.27526038870396219</v>
      </c>
      <c r="P14" t="str">
        <f>P13</f>
        <v>}\\</v>
      </c>
    </row>
    <row r="15" spans="1:16" x14ac:dyDescent="0.25">
      <c r="A15" t="s">
        <v>115</v>
      </c>
      <c r="B15" t="s">
        <v>99</v>
      </c>
      <c r="C15" s="8">
        <f>Results!E16</f>
        <v>74321</v>
      </c>
      <c r="D15" t="s">
        <v>99</v>
      </c>
      <c r="E15" s="8">
        <f>Results!E24</f>
        <v>54985</v>
      </c>
      <c r="F15" t="s">
        <v>99</v>
      </c>
      <c r="G15" t="str">
        <f>IF(H15&gt;0,"\textcolor{red}{+","\textcolor{OliveGreen}{")</f>
        <v>\textcolor{OliveGreen}{</v>
      </c>
      <c r="H15" s="9">
        <f t="shared" si="1"/>
        <v>-0.26016872754672299</v>
      </c>
      <c r="I15" s="9" t="s">
        <v>124</v>
      </c>
      <c r="J15" s="8">
        <v>82814</v>
      </c>
      <c r="K15" t="s">
        <v>99</v>
      </c>
      <c r="L15" s="22">
        <v>57028</v>
      </c>
      <c r="M15" t="s">
        <v>99</v>
      </c>
      <c r="N15" t="s">
        <v>125</v>
      </c>
      <c r="O15" s="9">
        <f t="shared" si="2"/>
        <v>-0.31137247325331463</v>
      </c>
      <c r="P15" t="str">
        <f>P14</f>
        <v>}\\</v>
      </c>
    </row>
    <row r="16" spans="1:16" x14ac:dyDescent="0.25">
      <c r="A16" t="s">
        <v>116</v>
      </c>
      <c r="B16" t="s">
        <v>99</v>
      </c>
      <c r="C16" s="8">
        <f>Results!D16</f>
        <v>4</v>
      </c>
      <c r="D16" t="s">
        <v>99</v>
      </c>
      <c r="E16" s="8">
        <f>Results!D24</f>
        <v>4</v>
      </c>
      <c r="F16" t="s">
        <v>99</v>
      </c>
      <c r="G16" t="str">
        <f>IF(H16&gt;0,"\textcolor{red}{+","\textcolor{OliveGreen}{")</f>
        <v>\textcolor{OliveGreen}{</v>
      </c>
      <c r="H16" s="9">
        <f t="shared" si="1"/>
        <v>0</v>
      </c>
      <c r="I16" s="9" t="s">
        <v>124</v>
      </c>
      <c r="J16" s="8">
        <v>6</v>
      </c>
      <c r="K16" t="s">
        <v>99</v>
      </c>
      <c r="L16" s="8">
        <v>6</v>
      </c>
      <c r="M16" t="s">
        <v>99</v>
      </c>
      <c r="N16" t="s">
        <v>125</v>
      </c>
      <c r="O16" s="9">
        <f t="shared" si="2"/>
        <v>0</v>
      </c>
      <c r="P16" t="str">
        <f>P15</f>
        <v>}\\</v>
      </c>
    </row>
    <row r="17" spans="1:16" x14ac:dyDescent="0.25">
      <c r="A17" t="s">
        <v>117</v>
      </c>
      <c r="B17" t="s">
        <v>99</v>
      </c>
      <c r="C17" s="8">
        <f>Results!F16</f>
        <v>192.42</v>
      </c>
      <c r="D17" t="s">
        <v>99</v>
      </c>
      <c r="E17" s="8">
        <f>Results!F24</f>
        <v>219.88</v>
      </c>
      <c r="F17" t="s">
        <v>99</v>
      </c>
      <c r="G17" t="str">
        <f>IF(H17&gt;0,"\textcolor{OliveGreen}{+","\textcolor{red}{")</f>
        <v>\textcolor{OliveGreen}{+</v>
      </c>
      <c r="H17" s="9">
        <f t="shared" si="1"/>
        <v>0.14270865814364417</v>
      </c>
      <c r="I17" s="9" t="s">
        <v>124</v>
      </c>
      <c r="J17" s="8">
        <v>191.09</v>
      </c>
      <c r="K17" t="s">
        <v>99</v>
      </c>
      <c r="L17" s="8">
        <v>193.57</v>
      </c>
      <c r="M17" t="s">
        <v>99</v>
      </c>
      <c r="N17" t="s">
        <v>127</v>
      </c>
      <c r="O17" s="9">
        <f t="shared" si="2"/>
        <v>1.2978177821968652E-2</v>
      </c>
      <c r="P17" t="str">
        <f>P16</f>
        <v>}\\</v>
      </c>
    </row>
    <row r="18" spans="1:16" x14ac:dyDescent="0.25">
      <c r="A18" t="s">
        <v>112</v>
      </c>
      <c r="B18" t="s">
        <v>99</v>
      </c>
      <c r="C18" s="16">
        <f>C6/(C$17)</f>
        <v>15.512940442781417</v>
      </c>
      <c r="D18" t="s">
        <v>99</v>
      </c>
      <c r="E18" s="16">
        <f>E6/E$17</f>
        <v>10.091868291795524</v>
      </c>
      <c r="F18" t="s">
        <v>99</v>
      </c>
      <c r="G18" t="str">
        <f>IF(H18&gt;0,"\textcolor{red}{+","\textcolor{OliveGreen}{")</f>
        <v>\textcolor{OliveGreen}{</v>
      </c>
      <c r="H18" s="9">
        <f t="shared" si="1"/>
        <v>-0.34945484197410565</v>
      </c>
      <c r="I18" s="9" t="s">
        <v>124</v>
      </c>
      <c r="J18" s="16">
        <v>15.647077293421948</v>
      </c>
      <c r="K18" t="s">
        <v>99</v>
      </c>
      <c r="L18" s="16">
        <v>12.517435553029912</v>
      </c>
      <c r="M18" t="s">
        <v>99</v>
      </c>
      <c r="N18" t="s">
        <v>125</v>
      </c>
      <c r="O18" s="9">
        <f t="shared" si="2"/>
        <v>-0.20001446159582409</v>
      </c>
      <c r="P18" t="str">
        <f>P15</f>
        <v>}\\</v>
      </c>
    </row>
    <row r="19" spans="1:16" x14ac:dyDescent="0.25">
      <c r="A19" t="s">
        <v>113</v>
      </c>
      <c r="B19" t="s">
        <v>99</v>
      </c>
      <c r="C19" s="16">
        <f>C7/(C$17)</f>
        <v>7.6915081592350072</v>
      </c>
      <c r="D19" t="s">
        <v>99</v>
      </c>
      <c r="E19" s="16">
        <f>E7/E$17</f>
        <v>5.4575222848826632</v>
      </c>
      <c r="F19" t="s">
        <v>99</v>
      </c>
      <c r="G19" t="str">
        <f>IF(H19&gt;0,"\textcolor{red}{+","\textcolor{OliveGreen}{")</f>
        <v>\textcolor{OliveGreen}{</v>
      </c>
      <c r="H19" s="9">
        <f t="shared" si="1"/>
        <v>-0.29044835266410673</v>
      </c>
      <c r="I19" s="9" t="s">
        <v>124</v>
      </c>
      <c r="J19" s="16">
        <v>21.262232455910826</v>
      </c>
      <c r="K19" t="s">
        <v>99</v>
      </c>
      <c r="L19" s="16">
        <v>17.53887482564447</v>
      </c>
      <c r="M19" t="s">
        <v>99</v>
      </c>
      <c r="N19" t="s">
        <v>125</v>
      </c>
      <c r="O19" s="9">
        <f t="shared" si="2"/>
        <v>-0.17511602499817822</v>
      </c>
      <c r="P19" t="str">
        <f>P18</f>
        <v>}\\</v>
      </c>
    </row>
    <row r="20" spans="1:16" s="13" customFormat="1" x14ac:dyDescent="0.25">
      <c r="A20" s="10" t="s">
        <v>98</v>
      </c>
      <c r="B20" s="10" t="s">
        <v>99</v>
      </c>
      <c r="C20" s="11" t="str">
        <f>Cycle_estimation!A21</f>
        <v>3KEM_0d</v>
      </c>
      <c r="D20" s="10" t="s">
        <v>99</v>
      </c>
      <c r="E20" s="11" t="str">
        <f>Cycle_estimation_with_XEf!A21</f>
        <v>3KEM_5d</v>
      </c>
      <c r="F20" s="10" t="s">
        <v>99</v>
      </c>
      <c r="G20"/>
      <c r="H20" s="12" t="s">
        <v>100</v>
      </c>
      <c r="I20" s="12" t="s">
        <v>99</v>
      </c>
      <c r="J20" s="11" t="s">
        <v>14</v>
      </c>
      <c r="K20" s="10" t="s">
        <v>99</v>
      </c>
      <c r="L20" s="11" t="s">
        <v>79</v>
      </c>
      <c r="M20" s="10" t="s">
        <v>99</v>
      </c>
      <c r="N20" s="12" t="s">
        <v>100</v>
      </c>
      <c r="O20" s="24" t="s">
        <v>123</v>
      </c>
      <c r="P20" s="10"/>
    </row>
    <row r="21" spans="1:16" x14ac:dyDescent="0.25">
      <c r="A21" s="14" t="s">
        <v>101</v>
      </c>
      <c r="B21" t="s">
        <v>99</v>
      </c>
      <c r="C21" s="8">
        <v>786</v>
      </c>
      <c r="D21" t="s">
        <v>99</v>
      </c>
      <c r="E21" s="8">
        <v>756</v>
      </c>
      <c r="F21" t="s">
        <v>99</v>
      </c>
      <c r="G21" t="str">
        <f t="shared" ref="G21:G29" si="3">IF(H21&gt;0,"\textcolor{red}{+","\textcolor{OliveGreen}{")</f>
        <v>\textcolor{OliveGreen}{</v>
      </c>
      <c r="H21" s="9">
        <f t="shared" ref="H21:H38" si="4">(E21-C21)/C21</f>
        <v>-3.8167938931297711E-2</v>
      </c>
      <c r="I21" s="9" t="s">
        <v>124</v>
      </c>
      <c r="J21" s="8">
        <v>852</v>
      </c>
      <c r="K21" t="s">
        <v>99</v>
      </c>
      <c r="L21" s="8">
        <v>756</v>
      </c>
      <c r="M21" t="s">
        <v>99</v>
      </c>
      <c r="N21" t="s">
        <v>125</v>
      </c>
      <c r="O21" s="9">
        <f t="shared" si="2"/>
        <v>-0.11267605633802817</v>
      </c>
      <c r="P21" t="s">
        <v>102</v>
      </c>
    </row>
    <row r="22" spans="1:16" x14ac:dyDescent="0.25">
      <c r="A22" s="14" t="s">
        <v>103</v>
      </c>
      <c r="B22" t="s">
        <v>99</v>
      </c>
      <c r="C22" s="8">
        <v>909</v>
      </c>
      <c r="D22" t="s">
        <v>99</v>
      </c>
      <c r="E22" s="8">
        <v>780</v>
      </c>
      <c r="F22" t="s">
        <v>99</v>
      </c>
      <c r="G22" t="str">
        <f t="shared" si="3"/>
        <v>\textcolor{OliveGreen}{</v>
      </c>
      <c r="H22" s="9">
        <f t="shared" si="4"/>
        <v>-0.14191419141914191</v>
      </c>
      <c r="I22" s="9" t="s">
        <v>124</v>
      </c>
      <c r="J22" s="8">
        <v>983</v>
      </c>
      <c r="K22" t="s">
        <v>99</v>
      </c>
      <c r="L22" s="8">
        <v>780</v>
      </c>
      <c r="M22" t="s">
        <v>99</v>
      </c>
      <c r="N22" t="s">
        <v>125</v>
      </c>
      <c r="O22" s="9">
        <f t="shared" si="2"/>
        <v>-0.20651068158697863</v>
      </c>
      <c r="P22" t="s">
        <v>102</v>
      </c>
    </row>
    <row r="23" spans="1:16" x14ac:dyDescent="0.25">
      <c r="A23" s="14" t="s">
        <v>104</v>
      </c>
      <c r="B23" t="s">
        <v>99</v>
      </c>
      <c r="C23" s="8">
        <v>24</v>
      </c>
      <c r="D23" t="s">
        <v>99</v>
      </c>
      <c r="E23" s="8">
        <v>24</v>
      </c>
      <c r="F23" t="s">
        <v>99</v>
      </c>
      <c r="G23" t="str">
        <f t="shared" si="3"/>
        <v>\textcolor{OliveGreen}{</v>
      </c>
      <c r="H23" s="9">
        <f t="shared" si="4"/>
        <v>0</v>
      </c>
      <c r="I23" s="9" t="s">
        <v>124</v>
      </c>
      <c r="J23" s="8">
        <v>1031</v>
      </c>
      <c r="K23" t="s">
        <v>99</v>
      </c>
      <c r="L23" s="22">
        <v>828</v>
      </c>
      <c r="M23" t="s">
        <v>99</v>
      </c>
      <c r="N23" t="s">
        <v>125</v>
      </c>
      <c r="O23" s="9">
        <f t="shared" si="2"/>
        <v>-0.19689621726479145</v>
      </c>
      <c r="P23" t="s">
        <v>102</v>
      </c>
    </row>
    <row r="24" spans="1:16" x14ac:dyDescent="0.25">
      <c r="A24" s="14" t="s">
        <v>105</v>
      </c>
      <c r="B24" t="s">
        <v>99</v>
      </c>
      <c r="C24" s="8">
        <v>981</v>
      </c>
      <c r="D24" t="s">
        <v>99</v>
      </c>
      <c r="E24" s="8">
        <v>859</v>
      </c>
      <c r="F24" t="s">
        <v>99</v>
      </c>
      <c r="G24" t="str">
        <f t="shared" si="3"/>
        <v>\textcolor{OliveGreen}{</v>
      </c>
      <c r="H24" s="9">
        <f t="shared" si="4"/>
        <v>-0.12436289500509684</v>
      </c>
      <c r="I24" s="9" t="s">
        <v>124</v>
      </c>
      <c r="J24" s="8">
        <v>1119</v>
      </c>
      <c r="K24" t="s">
        <v>99</v>
      </c>
      <c r="L24" s="22">
        <v>950</v>
      </c>
      <c r="M24" t="s">
        <v>99</v>
      </c>
      <c r="N24" t="s">
        <v>125</v>
      </c>
      <c r="O24" s="9">
        <f t="shared" si="2"/>
        <v>-0.15102770330652368</v>
      </c>
      <c r="P24" t="s">
        <v>102</v>
      </c>
    </row>
    <row r="25" spans="1:16" x14ac:dyDescent="0.25">
      <c r="A25" t="s">
        <v>106</v>
      </c>
      <c r="B25" t="s">
        <v>99</v>
      </c>
      <c r="C25" s="8">
        <f>Cycle_estimation!B21</f>
        <v>3862</v>
      </c>
      <c r="D25" t="s">
        <v>99</v>
      </c>
      <c r="E25" s="8">
        <f>Cycle_estimation_with_XEf!B21</f>
        <v>3453</v>
      </c>
      <c r="F25" t="s">
        <v>99</v>
      </c>
      <c r="G25" t="str">
        <f t="shared" si="3"/>
        <v>\textcolor{OliveGreen}{</v>
      </c>
      <c r="H25" s="9">
        <f t="shared" si="4"/>
        <v>-0.10590367685137235</v>
      </c>
      <c r="I25" s="9" t="s">
        <v>124</v>
      </c>
      <c r="J25" s="8">
        <v>4248</v>
      </c>
      <c r="K25" t="s">
        <v>99</v>
      </c>
      <c r="L25" s="22">
        <v>3650</v>
      </c>
      <c r="M25" t="s">
        <v>99</v>
      </c>
      <c r="N25" t="s">
        <v>125</v>
      </c>
      <c r="O25" s="9">
        <f t="shared" si="2"/>
        <v>-0.14077212806026365</v>
      </c>
      <c r="P25" t="s">
        <v>102</v>
      </c>
    </row>
    <row r="26" spans="1:16" x14ac:dyDescent="0.25">
      <c r="A26" t="s">
        <v>107</v>
      </c>
      <c r="B26" t="s">
        <v>99</v>
      </c>
      <c r="C26" s="8">
        <f>Cycle_estimation!C21</f>
        <v>1901</v>
      </c>
      <c r="D26" t="s">
        <v>99</v>
      </c>
      <c r="E26" s="8">
        <f>Cycle_estimation_with_XEf!C21</f>
        <v>1831</v>
      </c>
      <c r="F26" t="s">
        <v>99</v>
      </c>
      <c r="G26" t="str">
        <f t="shared" si="3"/>
        <v>\textcolor{OliveGreen}{</v>
      </c>
      <c r="H26" s="9">
        <f t="shared" si="4"/>
        <v>-3.682272488164124E-2</v>
      </c>
      <c r="I26" s="9" t="s">
        <v>124</v>
      </c>
      <c r="J26" s="8">
        <v>5839</v>
      </c>
      <c r="K26" t="s">
        <v>99</v>
      </c>
      <c r="L26" s="22">
        <v>5076</v>
      </c>
      <c r="M26" t="s">
        <v>99</v>
      </c>
      <c r="N26" t="s">
        <v>125</v>
      </c>
      <c r="O26" s="9">
        <f t="shared" si="2"/>
        <v>-0.13067306045555746</v>
      </c>
      <c r="P26" t="s">
        <v>102</v>
      </c>
    </row>
    <row r="27" spans="1:16" x14ac:dyDescent="0.25">
      <c r="A27" t="s">
        <v>118</v>
      </c>
      <c r="B27" t="s">
        <v>99</v>
      </c>
      <c r="C27" s="8">
        <v>66413</v>
      </c>
      <c r="D27" t="s">
        <v>99</v>
      </c>
      <c r="E27" s="22">
        <v>57110</v>
      </c>
      <c r="F27" t="s">
        <v>99</v>
      </c>
      <c r="G27" t="str">
        <f t="shared" si="3"/>
        <v>\textcolor{OliveGreen}{</v>
      </c>
      <c r="H27" s="9">
        <f t="shared" si="4"/>
        <v>-0.1400779967777393</v>
      </c>
      <c r="I27" s="9" t="s">
        <v>124</v>
      </c>
      <c r="J27" s="8">
        <v>71044</v>
      </c>
      <c r="K27" t="s">
        <v>99</v>
      </c>
      <c r="L27" s="22">
        <v>59690</v>
      </c>
      <c r="M27" t="s">
        <v>99</v>
      </c>
      <c r="N27" t="s">
        <v>125</v>
      </c>
      <c r="O27" s="9">
        <f t="shared" si="2"/>
        <v>-0.15981645177636394</v>
      </c>
      <c r="P27" t="s">
        <v>102</v>
      </c>
    </row>
    <row r="28" spans="1:16" x14ac:dyDescent="0.25">
      <c r="A28" t="s">
        <v>119</v>
      </c>
      <c r="B28" t="s">
        <v>99</v>
      </c>
      <c r="C28" s="8">
        <v>12985</v>
      </c>
      <c r="D28" t="s">
        <v>99</v>
      </c>
      <c r="E28" s="22">
        <v>12880</v>
      </c>
      <c r="F28" t="s">
        <v>99</v>
      </c>
      <c r="G28" t="str">
        <f t="shared" si="3"/>
        <v>\textcolor{OliveGreen}{</v>
      </c>
      <c r="H28" s="9">
        <f t="shared" si="4"/>
        <v>-8.0862533692722376E-3</v>
      </c>
      <c r="I28" s="9" t="s">
        <v>124</v>
      </c>
      <c r="J28" s="8">
        <v>13476</v>
      </c>
      <c r="K28" t="s">
        <v>99</v>
      </c>
      <c r="L28" s="22">
        <v>13326</v>
      </c>
      <c r="M28" t="s">
        <v>99</v>
      </c>
      <c r="N28" t="s">
        <v>125</v>
      </c>
      <c r="O28" s="9">
        <f t="shared" si="2"/>
        <v>-1.1130899376669634E-2</v>
      </c>
      <c r="P28" t="s">
        <v>102</v>
      </c>
    </row>
    <row r="29" spans="1:16" x14ac:dyDescent="0.25">
      <c r="A29" t="s">
        <v>120</v>
      </c>
      <c r="B29" t="s">
        <v>99</v>
      </c>
      <c r="C29" s="8">
        <v>2</v>
      </c>
      <c r="D29" t="s">
        <v>99</v>
      </c>
      <c r="E29" s="22">
        <v>2</v>
      </c>
      <c r="F29" t="s">
        <v>99</v>
      </c>
      <c r="G29" t="str">
        <f t="shared" si="3"/>
        <v>\textcolor{OliveGreen}{</v>
      </c>
      <c r="H29" s="9">
        <f t="shared" si="4"/>
        <v>0</v>
      </c>
      <c r="I29" s="9" t="s">
        <v>124</v>
      </c>
      <c r="J29" s="8">
        <v>2</v>
      </c>
      <c r="K29" t="s">
        <v>99</v>
      </c>
      <c r="L29" s="22">
        <v>2</v>
      </c>
      <c r="M29" t="s">
        <v>99</v>
      </c>
      <c r="N29" t="s">
        <v>125</v>
      </c>
      <c r="O29" s="9">
        <f t="shared" si="2"/>
        <v>0</v>
      </c>
      <c r="P29" t="s">
        <v>102</v>
      </c>
    </row>
    <row r="30" spans="1:16" x14ac:dyDescent="0.25">
      <c r="A30" t="s">
        <v>121</v>
      </c>
      <c r="B30" t="s">
        <v>99</v>
      </c>
      <c r="C30" s="8">
        <v>240</v>
      </c>
      <c r="D30" t="s">
        <v>99</v>
      </c>
      <c r="E30" s="22">
        <v>221</v>
      </c>
      <c r="F30" t="s">
        <v>99</v>
      </c>
      <c r="G30" t="str">
        <f>IF(H30&gt;0,"\textcolor{OliveGreen}{+","\textcolor{red}{")</f>
        <v>\textcolor{red}{</v>
      </c>
      <c r="H30" s="9">
        <f t="shared" si="4"/>
        <v>-7.9166666666666663E-2</v>
      </c>
      <c r="I30" s="9" t="s">
        <v>124</v>
      </c>
      <c r="J30" s="8">
        <v>249</v>
      </c>
      <c r="K30" t="s">
        <v>99</v>
      </c>
      <c r="L30" s="22">
        <v>222</v>
      </c>
      <c r="M30" t="s">
        <v>99</v>
      </c>
      <c r="N30" t="s">
        <v>126</v>
      </c>
      <c r="O30" s="9">
        <f t="shared" si="2"/>
        <v>-0.10843373493975904</v>
      </c>
      <c r="P30" t="s">
        <v>102</v>
      </c>
    </row>
    <row r="31" spans="1:16" x14ac:dyDescent="0.25">
      <c r="A31" t="s">
        <v>112</v>
      </c>
      <c r="B31" t="s">
        <v>99</v>
      </c>
      <c r="C31" s="16">
        <f>C25/C$30</f>
        <v>16.091666666666665</v>
      </c>
      <c r="D31" t="s">
        <v>99</v>
      </c>
      <c r="E31" s="23">
        <f>E25/E30</f>
        <v>15.624434389140271</v>
      </c>
      <c r="F31" t="s">
        <v>99</v>
      </c>
      <c r="G31" t="str">
        <f>IF(H31&gt;0,"\textcolor{red}{+","\textcolor{OliveGreen}{")</f>
        <v>\textcolor{OliveGreen}{</v>
      </c>
      <c r="H31" s="9">
        <f t="shared" si="4"/>
        <v>-2.9035667168911074E-2</v>
      </c>
      <c r="I31" s="9" t="s">
        <v>124</v>
      </c>
      <c r="J31" s="16">
        <v>17.060240963855421</v>
      </c>
      <c r="K31" t="s">
        <v>99</v>
      </c>
      <c r="L31" s="23">
        <f>L25/L30</f>
        <v>16.441441441441441</v>
      </c>
      <c r="M31" t="s">
        <v>99</v>
      </c>
      <c r="N31" t="s">
        <v>125</v>
      </c>
      <c r="O31" s="9">
        <f t="shared" si="2"/>
        <v>-3.6271440932457856E-2</v>
      </c>
      <c r="P31" t="s">
        <v>102</v>
      </c>
    </row>
    <row r="32" spans="1:16" x14ac:dyDescent="0.25">
      <c r="A32" t="s">
        <v>113</v>
      </c>
      <c r="B32" t="s">
        <v>99</v>
      </c>
      <c r="C32" s="16">
        <f>C26/C$30</f>
        <v>7.9208333333333334</v>
      </c>
      <c r="D32" t="s">
        <v>99</v>
      </c>
      <c r="E32" s="23">
        <f>E26/E30</f>
        <v>8.2850678733031682</v>
      </c>
      <c r="F32" t="s">
        <v>99</v>
      </c>
      <c r="G32" t="str">
        <f>IF(H32&gt;0,"\textcolor{red}{+","\textcolor{OliveGreen}{")</f>
        <v>\textcolor{red}{+</v>
      </c>
      <c r="H32" s="9">
        <f t="shared" si="4"/>
        <v>4.5984371169258471E-2</v>
      </c>
      <c r="I32" s="9" t="s">
        <v>124</v>
      </c>
      <c r="J32" s="16">
        <v>23.449799196787147</v>
      </c>
      <c r="K32" t="s">
        <v>99</v>
      </c>
      <c r="L32" s="23">
        <f>L26/L30</f>
        <v>22.864864864864863</v>
      </c>
      <c r="M32" t="s">
        <v>99</v>
      </c>
      <c r="N32" t="s">
        <v>125</v>
      </c>
      <c r="O32" s="9">
        <f t="shared" si="2"/>
        <v>-2.4944108348800943E-2</v>
      </c>
      <c r="P32" t="s">
        <v>102</v>
      </c>
    </row>
    <row r="33" spans="1:16" x14ac:dyDescent="0.25">
      <c r="A33" t="s">
        <v>114</v>
      </c>
      <c r="B33" t="s">
        <v>99</v>
      </c>
      <c r="C33" s="8">
        <f>Results!B17</f>
        <v>46466</v>
      </c>
      <c r="D33" t="s">
        <v>99</v>
      </c>
      <c r="E33" s="8">
        <f>Results!B25</f>
        <v>40885</v>
      </c>
      <c r="F33" t="s">
        <v>99</v>
      </c>
      <c r="G33" t="str">
        <f>IF(H33&gt;0,"\textcolor{red}{+","\textcolor{OliveGreen}{")</f>
        <v>\textcolor{OliveGreen}{</v>
      </c>
      <c r="H33" s="9">
        <f t="shared" si="4"/>
        <v>-0.12010932725003229</v>
      </c>
      <c r="I33" s="9" t="s">
        <v>124</v>
      </c>
      <c r="J33" s="8">
        <v>48029</v>
      </c>
      <c r="K33" t="s">
        <v>99</v>
      </c>
      <c r="L33" s="22">
        <v>43014</v>
      </c>
      <c r="M33" t="s">
        <v>99</v>
      </c>
      <c r="N33" t="s">
        <v>125</v>
      </c>
      <c r="O33" s="9">
        <f t="shared" si="2"/>
        <v>-0.10441608195048825</v>
      </c>
      <c r="P33" t="s">
        <v>102</v>
      </c>
    </row>
    <row r="34" spans="1:16" x14ac:dyDescent="0.25">
      <c r="A34" t="s">
        <v>115</v>
      </c>
      <c r="B34" t="s">
        <v>99</v>
      </c>
      <c r="C34" s="8">
        <f>Results!E17</f>
        <v>107014</v>
      </c>
      <c r="D34" t="s">
        <v>99</v>
      </c>
      <c r="E34" s="8">
        <f>Results!E25</f>
        <v>97090</v>
      </c>
      <c r="F34" t="s">
        <v>99</v>
      </c>
      <c r="G34" t="str">
        <f>IF(H34&gt;0,"\textcolor{red}{+","\textcolor{OliveGreen}{")</f>
        <v>\textcolor{OliveGreen}{</v>
      </c>
      <c r="H34" s="9">
        <f t="shared" si="4"/>
        <v>-9.273552993066328E-2</v>
      </c>
      <c r="I34" s="9" t="s">
        <v>124</v>
      </c>
      <c r="J34" s="8">
        <v>108844</v>
      </c>
      <c r="K34" t="s">
        <v>99</v>
      </c>
      <c r="L34" s="8">
        <v>96859</v>
      </c>
      <c r="M34" t="s">
        <v>99</v>
      </c>
      <c r="N34" t="s">
        <v>125</v>
      </c>
      <c r="O34" s="9">
        <f t="shared" si="2"/>
        <v>-0.11011171952519201</v>
      </c>
      <c r="P34" t="s">
        <v>102</v>
      </c>
    </row>
    <row r="35" spans="1:16" x14ac:dyDescent="0.25">
      <c r="A35" t="s">
        <v>116</v>
      </c>
      <c r="B35" t="s">
        <v>99</v>
      </c>
      <c r="C35" s="8">
        <f>Results!D17</f>
        <v>4</v>
      </c>
      <c r="D35" t="s">
        <v>99</v>
      </c>
      <c r="E35" s="8">
        <f>Results!D25</f>
        <v>4</v>
      </c>
      <c r="F35" t="s">
        <v>99</v>
      </c>
      <c r="G35" t="str">
        <f>IF(H35&gt;0,"\textcolor{red}{+","\textcolor{OliveGreen}{")</f>
        <v>\textcolor{OliveGreen}{</v>
      </c>
      <c r="H35" s="9">
        <f t="shared" si="4"/>
        <v>0</v>
      </c>
      <c r="I35" s="9" t="s">
        <v>124</v>
      </c>
      <c r="J35" s="8">
        <v>6</v>
      </c>
      <c r="K35" t="s">
        <v>99</v>
      </c>
      <c r="L35" s="8">
        <v>6</v>
      </c>
      <c r="M35" t="s">
        <v>99</v>
      </c>
      <c r="N35" t="s">
        <v>125</v>
      </c>
      <c r="O35" s="9">
        <f t="shared" si="2"/>
        <v>0</v>
      </c>
      <c r="P35" t="s">
        <v>102</v>
      </c>
    </row>
    <row r="36" spans="1:16" x14ac:dyDescent="0.25">
      <c r="A36" t="s">
        <v>117</v>
      </c>
      <c r="B36" t="s">
        <v>99</v>
      </c>
      <c r="C36" s="8">
        <f>Results!F17</f>
        <v>177.34</v>
      </c>
      <c r="D36" t="s">
        <v>99</v>
      </c>
      <c r="E36" s="8">
        <f>Results!F25</f>
        <v>193.01</v>
      </c>
      <c r="F36" t="s">
        <v>99</v>
      </c>
      <c r="G36" t="str">
        <f>IF(H36&gt;0,"\textcolor{OliveGreen}{+","\textcolor{red}{")</f>
        <v>\textcolor{OliveGreen}{+</v>
      </c>
      <c r="H36" s="9">
        <f t="shared" si="4"/>
        <v>8.8361339799255589E-2</v>
      </c>
      <c r="I36" s="9" t="s">
        <v>124</v>
      </c>
      <c r="J36" s="8">
        <v>194.7</v>
      </c>
      <c r="K36" t="s">
        <v>99</v>
      </c>
      <c r="L36" s="8">
        <v>189.83</v>
      </c>
      <c r="M36" t="s">
        <v>99</v>
      </c>
      <c r="N36" t="s">
        <v>126</v>
      </c>
      <c r="O36" s="9">
        <f t="shared" si="2"/>
        <v>-2.5012840267077435E-2</v>
      </c>
      <c r="P36" t="s">
        <v>102</v>
      </c>
    </row>
    <row r="37" spans="1:16" x14ac:dyDescent="0.25">
      <c r="A37" t="s">
        <v>112</v>
      </c>
      <c r="B37" t="s">
        <v>99</v>
      </c>
      <c r="C37" s="16">
        <f>C25/(C$36)</f>
        <v>21.777376790346228</v>
      </c>
      <c r="D37" t="s">
        <v>99</v>
      </c>
      <c r="E37" s="16">
        <f>E25/E$36</f>
        <v>17.890264753121599</v>
      </c>
      <c r="F37" t="s">
        <v>99</v>
      </c>
      <c r="G37" t="str">
        <f>IF(H37&gt;0,"\textcolor{red}{+","\textcolor{OliveGreen}{")</f>
        <v>\textcolor{OliveGreen}{</v>
      </c>
      <c r="H37" s="9">
        <f t="shared" si="4"/>
        <v>-0.17849312498224124</v>
      </c>
      <c r="I37" s="9" t="s">
        <v>124</v>
      </c>
      <c r="J37" s="16">
        <v>21.81818181818182</v>
      </c>
      <c r="K37" t="s">
        <v>99</v>
      </c>
      <c r="L37" s="16">
        <v>19.227730074276984</v>
      </c>
      <c r="M37" t="s">
        <v>99</v>
      </c>
      <c r="N37" t="s">
        <v>125</v>
      </c>
      <c r="O37" s="9">
        <f t="shared" si="2"/>
        <v>-0.11872903826230498</v>
      </c>
      <c r="P37" t="s">
        <v>102</v>
      </c>
    </row>
    <row r="38" spans="1:16" x14ac:dyDescent="0.25">
      <c r="A38" t="s">
        <v>113</v>
      </c>
      <c r="B38" t="s">
        <v>99</v>
      </c>
      <c r="C38" s="16">
        <f>C26/(C$36)</f>
        <v>10.719521822487875</v>
      </c>
      <c r="D38" t="s">
        <v>99</v>
      </c>
      <c r="E38" s="16">
        <f>E26/E$36</f>
        <v>9.4865551007719819</v>
      </c>
      <c r="F38" t="s">
        <v>99</v>
      </c>
      <c r="G38" t="str">
        <f>IF(H38&gt;0,"\textcolor{red}{+","\textcolor{OliveGreen}{")</f>
        <v>\textcolor{OliveGreen}{</v>
      </c>
      <c r="H38" s="9">
        <f t="shared" si="4"/>
        <v>-0.11502068302424859</v>
      </c>
      <c r="I38" s="9" t="s">
        <v>124</v>
      </c>
      <c r="J38" s="16">
        <v>29.989727786337959</v>
      </c>
      <c r="K38" t="s">
        <v>99</v>
      </c>
      <c r="L38" s="16">
        <v>26.739714481378073</v>
      </c>
      <c r="M38" t="s">
        <v>99</v>
      </c>
      <c r="N38" t="s">
        <v>125</v>
      </c>
      <c r="O38" s="9">
        <f t="shared" si="2"/>
        <v>-0.10837088379443222</v>
      </c>
      <c r="P38" t="s">
        <v>102</v>
      </c>
    </row>
    <row r="39" spans="1:16" s="13" customFormat="1" x14ac:dyDescent="0.25">
      <c r="A39" s="10" t="s">
        <v>98</v>
      </c>
      <c r="B39" s="10" t="s">
        <v>99</v>
      </c>
      <c r="C39" s="11" t="str">
        <f>Cycle_estimation!A22</f>
        <v>5KEM_0d</v>
      </c>
      <c r="D39" s="10" t="s">
        <v>99</v>
      </c>
      <c r="E39" s="11" t="str">
        <f>Cycle_estimation_with_XEf!A22</f>
        <v>5KEM_5d</v>
      </c>
      <c r="F39" s="10" t="s">
        <v>99</v>
      </c>
      <c r="G39"/>
      <c r="H39" s="12"/>
      <c r="I39" s="12" t="s">
        <v>99</v>
      </c>
      <c r="J39" s="11" t="s">
        <v>15</v>
      </c>
      <c r="K39" s="10" t="s">
        <v>99</v>
      </c>
      <c r="L39" s="11" t="s">
        <v>80</v>
      </c>
      <c r="M39" s="10" t="s">
        <v>99</v>
      </c>
      <c r="N39" s="12" t="s">
        <v>100</v>
      </c>
      <c r="O39" s="24" t="s">
        <v>123</v>
      </c>
      <c r="P39" s="10"/>
    </row>
    <row r="40" spans="1:16" x14ac:dyDescent="0.25">
      <c r="A40" s="14" t="s">
        <v>101</v>
      </c>
      <c r="B40" t="s">
        <v>99</v>
      </c>
      <c r="C40" s="8">
        <v>1018</v>
      </c>
      <c r="D40" t="s">
        <v>99</v>
      </c>
      <c r="E40" s="8">
        <v>940</v>
      </c>
      <c r="F40" t="s">
        <v>99</v>
      </c>
      <c r="G40" t="str">
        <f t="shared" ref="G40:G48" si="5">IF(H40&gt;0,"\textcolor{red}{+","\textcolor{OliveGreen}{")</f>
        <v>\textcolor{OliveGreen}{</v>
      </c>
      <c r="H40" s="9">
        <f t="shared" ref="H40:H57" si="6">(E40-C40)/C40</f>
        <v>-7.6620825147347735E-2</v>
      </c>
      <c r="I40" s="9" t="s">
        <v>124</v>
      </c>
      <c r="J40" s="8">
        <v>1170</v>
      </c>
      <c r="K40" t="s">
        <v>99</v>
      </c>
      <c r="L40" s="8">
        <v>946</v>
      </c>
      <c r="M40" t="s">
        <v>99</v>
      </c>
      <c r="N40" t="s">
        <v>125</v>
      </c>
      <c r="O40" s="9">
        <f t="shared" si="2"/>
        <v>-0.19145299145299147</v>
      </c>
      <c r="P40" t="s">
        <v>102</v>
      </c>
    </row>
    <row r="41" spans="1:16" x14ac:dyDescent="0.25">
      <c r="A41" s="14" t="s">
        <v>103</v>
      </c>
      <c r="B41" t="s">
        <v>99</v>
      </c>
      <c r="C41" s="8">
        <v>1176</v>
      </c>
      <c r="D41" t="s">
        <v>99</v>
      </c>
      <c r="E41" s="8">
        <v>972</v>
      </c>
      <c r="F41" t="s">
        <v>99</v>
      </c>
      <c r="G41" t="str">
        <f t="shared" si="5"/>
        <v>\textcolor{OliveGreen}{</v>
      </c>
      <c r="H41" s="9">
        <f t="shared" si="6"/>
        <v>-0.17346938775510204</v>
      </c>
      <c r="I41" s="9" t="s">
        <v>124</v>
      </c>
      <c r="J41" s="8">
        <v>1349</v>
      </c>
      <c r="K41" t="s">
        <v>99</v>
      </c>
      <c r="L41" s="8">
        <v>978</v>
      </c>
      <c r="M41" t="s">
        <v>99</v>
      </c>
      <c r="N41" t="s">
        <v>125</v>
      </c>
      <c r="O41" s="9">
        <f t="shared" si="2"/>
        <v>-0.27501853224610823</v>
      </c>
      <c r="P41" t="s">
        <v>102</v>
      </c>
    </row>
    <row r="42" spans="1:16" x14ac:dyDescent="0.25">
      <c r="A42" s="14" t="s">
        <v>104</v>
      </c>
      <c r="B42" t="s">
        <v>99</v>
      </c>
      <c r="C42" s="8">
        <v>32</v>
      </c>
      <c r="D42" t="s">
        <v>99</v>
      </c>
      <c r="E42" s="8">
        <v>32</v>
      </c>
      <c r="F42" t="s">
        <v>99</v>
      </c>
      <c r="G42" t="str">
        <f t="shared" si="5"/>
        <v>\textcolor{OliveGreen}{</v>
      </c>
      <c r="H42" s="9">
        <f t="shared" si="6"/>
        <v>0</v>
      </c>
      <c r="I42" s="9" t="s">
        <v>124</v>
      </c>
      <c r="J42" s="8">
        <v>1413</v>
      </c>
      <c r="K42" t="s">
        <v>99</v>
      </c>
      <c r="L42" s="8">
        <v>1042</v>
      </c>
      <c r="M42" t="s">
        <v>99</v>
      </c>
      <c r="N42" t="s">
        <v>125</v>
      </c>
      <c r="O42" s="9">
        <f t="shared" si="2"/>
        <v>-0.26256192498230713</v>
      </c>
      <c r="P42" t="s">
        <v>102</v>
      </c>
    </row>
    <row r="43" spans="1:16" x14ac:dyDescent="0.25">
      <c r="A43" s="14" t="s">
        <v>105</v>
      </c>
      <c r="B43" t="s">
        <v>99</v>
      </c>
      <c r="C43" s="8">
        <v>1274</v>
      </c>
      <c r="D43" t="s">
        <v>99</v>
      </c>
      <c r="E43" s="8">
        <v>1063</v>
      </c>
      <c r="F43" t="s">
        <v>99</v>
      </c>
      <c r="G43" t="str">
        <f t="shared" si="5"/>
        <v>\textcolor{OliveGreen}{</v>
      </c>
      <c r="H43" s="9">
        <f t="shared" si="6"/>
        <v>-0.16562009419152277</v>
      </c>
      <c r="I43" s="9" t="s">
        <v>124</v>
      </c>
      <c r="J43" s="8">
        <v>1525</v>
      </c>
      <c r="K43" t="s">
        <v>99</v>
      </c>
      <c r="L43" s="8">
        <v>1301</v>
      </c>
      <c r="M43" t="s">
        <v>99</v>
      </c>
      <c r="N43" t="s">
        <v>125</v>
      </c>
      <c r="O43" s="9">
        <f t="shared" si="2"/>
        <v>-0.14688524590163934</v>
      </c>
      <c r="P43" t="s">
        <v>102</v>
      </c>
    </row>
    <row r="44" spans="1:16" x14ac:dyDescent="0.25">
      <c r="A44" t="s">
        <v>106</v>
      </c>
      <c r="B44" t="s">
        <v>99</v>
      </c>
      <c r="C44" s="8">
        <f>Cycle_estimation!B22</f>
        <v>5031</v>
      </c>
      <c r="D44" t="s">
        <v>99</v>
      </c>
      <c r="E44" s="8">
        <f>Cycle_estimation_with_XEf!B22</f>
        <v>4279</v>
      </c>
      <c r="F44" t="s">
        <v>99</v>
      </c>
      <c r="G44" t="str">
        <f t="shared" si="5"/>
        <v>\textcolor{OliveGreen}{</v>
      </c>
      <c r="H44" s="9">
        <f t="shared" si="6"/>
        <v>-0.14947326575233552</v>
      </c>
      <c r="I44" s="9" t="s">
        <v>124</v>
      </c>
      <c r="J44" s="8">
        <v>5836</v>
      </c>
      <c r="K44" t="s">
        <v>99</v>
      </c>
      <c r="L44" s="8">
        <v>4509</v>
      </c>
      <c r="M44" t="s">
        <v>99</v>
      </c>
      <c r="N44" t="s">
        <v>125</v>
      </c>
      <c r="O44" s="9">
        <f t="shared" si="2"/>
        <v>-0.22738176833447568</v>
      </c>
      <c r="P44" t="s">
        <v>102</v>
      </c>
    </row>
    <row r="45" spans="1:16" x14ac:dyDescent="0.25">
      <c r="A45" t="s">
        <v>107</v>
      </c>
      <c r="B45" t="s">
        <v>99</v>
      </c>
      <c r="C45" s="8">
        <f>Cycle_estimation!C22</f>
        <v>2450</v>
      </c>
      <c r="D45" t="s">
        <v>99</v>
      </c>
      <c r="E45" s="8">
        <f>Cycle_estimation_with_XEf!C22</f>
        <v>2252</v>
      </c>
      <c r="F45" t="s">
        <v>99</v>
      </c>
      <c r="G45" t="str">
        <f t="shared" si="5"/>
        <v>\textcolor{OliveGreen}{</v>
      </c>
      <c r="H45" s="9">
        <f t="shared" si="6"/>
        <v>-8.0816326530612242E-2</v>
      </c>
      <c r="I45" s="9" t="s">
        <v>124</v>
      </c>
      <c r="J45" s="8">
        <v>7999</v>
      </c>
      <c r="K45" t="s">
        <v>99</v>
      </c>
      <c r="L45" s="8">
        <v>6301</v>
      </c>
      <c r="M45" t="s">
        <v>99</v>
      </c>
      <c r="N45" t="s">
        <v>125</v>
      </c>
      <c r="O45" s="9">
        <f t="shared" si="2"/>
        <v>-0.21227653456682086</v>
      </c>
      <c r="P45" t="s">
        <v>102</v>
      </c>
    </row>
    <row r="46" spans="1:16" x14ac:dyDescent="0.25">
      <c r="A46" t="s">
        <v>118</v>
      </c>
      <c r="B46" t="s">
        <v>99</v>
      </c>
      <c r="C46" s="8">
        <v>98063</v>
      </c>
      <c r="D46" t="s">
        <v>99</v>
      </c>
      <c r="E46" s="22">
        <v>70690</v>
      </c>
      <c r="F46" t="s">
        <v>99</v>
      </c>
      <c r="G46" t="str">
        <f t="shared" si="5"/>
        <v>\textcolor{OliveGreen}{</v>
      </c>
      <c r="H46" s="9">
        <f t="shared" si="6"/>
        <v>-0.27913688139257414</v>
      </c>
      <c r="I46" s="9" t="s">
        <v>124</v>
      </c>
      <c r="J46" s="8">
        <v>99315</v>
      </c>
      <c r="K46" t="s">
        <v>99</v>
      </c>
      <c r="L46" s="22">
        <v>74008</v>
      </c>
      <c r="M46" t="s">
        <v>99</v>
      </c>
      <c r="N46" t="s">
        <v>125</v>
      </c>
      <c r="O46" s="9">
        <f t="shared" si="2"/>
        <v>-0.25481548607964555</v>
      </c>
      <c r="P46" t="s">
        <v>102</v>
      </c>
    </row>
    <row r="47" spans="1:16" x14ac:dyDescent="0.25">
      <c r="A47" t="s">
        <v>119</v>
      </c>
      <c r="B47" t="s">
        <v>99</v>
      </c>
      <c r="C47" s="8">
        <v>17561</v>
      </c>
      <c r="D47" t="s">
        <v>99</v>
      </c>
      <c r="E47" s="22">
        <v>14320</v>
      </c>
      <c r="F47" t="s">
        <v>99</v>
      </c>
      <c r="G47" t="str">
        <f t="shared" si="5"/>
        <v>\textcolor{OliveGreen}{</v>
      </c>
      <c r="H47" s="9">
        <f t="shared" si="6"/>
        <v>-0.18455668811571094</v>
      </c>
      <c r="I47" s="9" t="s">
        <v>124</v>
      </c>
      <c r="J47" s="8">
        <v>17676</v>
      </c>
      <c r="K47" t="s">
        <v>99</v>
      </c>
      <c r="L47" s="22">
        <v>14090</v>
      </c>
      <c r="M47" t="s">
        <v>99</v>
      </c>
      <c r="N47" t="s">
        <v>125</v>
      </c>
      <c r="O47" s="9">
        <f t="shared" si="2"/>
        <v>-0.20287395338311837</v>
      </c>
      <c r="P47" t="s">
        <v>102</v>
      </c>
    </row>
    <row r="48" spans="1:16" x14ac:dyDescent="0.25">
      <c r="A48" t="s">
        <v>120</v>
      </c>
      <c r="B48" t="s">
        <v>99</v>
      </c>
      <c r="C48" s="8">
        <v>2</v>
      </c>
      <c r="D48" t="s">
        <v>99</v>
      </c>
      <c r="E48" s="22">
        <v>2</v>
      </c>
      <c r="F48" t="s">
        <v>99</v>
      </c>
      <c r="G48" t="str">
        <f t="shared" si="5"/>
        <v>\textcolor{OliveGreen}{</v>
      </c>
      <c r="H48" s="9">
        <f t="shared" si="6"/>
        <v>0</v>
      </c>
      <c r="I48" s="9" t="s">
        <v>124</v>
      </c>
      <c r="J48" s="8">
        <v>2</v>
      </c>
      <c r="K48" t="s">
        <v>99</v>
      </c>
      <c r="L48" s="22">
        <v>2</v>
      </c>
      <c r="M48" t="s">
        <v>99</v>
      </c>
      <c r="N48" t="s">
        <v>125</v>
      </c>
      <c r="O48" s="9">
        <f t="shared" si="2"/>
        <v>0</v>
      </c>
      <c r="P48" t="str">
        <f>P47</f>
        <v>}\\</v>
      </c>
    </row>
    <row r="49" spans="1:16" x14ac:dyDescent="0.25">
      <c r="A49" t="s">
        <v>121</v>
      </c>
      <c r="B49" t="s">
        <v>99</v>
      </c>
      <c r="C49" s="8">
        <v>220</v>
      </c>
      <c r="D49" t="s">
        <v>99</v>
      </c>
      <c r="E49" s="22">
        <v>223</v>
      </c>
      <c r="F49" t="s">
        <v>99</v>
      </c>
      <c r="G49" t="str">
        <f>IF(H49&gt;0,"\textcolor{OliveGreen}{+","\textcolor{red}{")</f>
        <v>\textcolor{OliveGreen}{+</v>
      </c>
      <c r="H49" s="9">
        <f t="shared" si="6"/>
        <v>1.3636363636363636E-2</v>
      </c>
      <c r="I49" s="9" t="s">
        <v>124</v>
      </c>
      <c r="J49" s="8">
        <v>240</v>
      </c>
      <c r="K49" t="s">
        <v>99</v>
      </c>
      <c r="L49" s="22">
        <v>223</v>
      </c>
      <c r="M49" t="s">
        <v>99</v>
      </c>
      <c r="N49" t="s">
        <v>126</v>
      </c>
      <c r="O49" s="9">
        <f t="shared" si="2"/>
        <v>-7.0833333333333331E-2</v>
      </c>
      <c r="P49" t="str">
        <f>P48</f>
        <v>}\\</v>
      </c>
    </row>
    <row r="50" spans="1:16" x14ac:dyDescent="0.25">
      <c r="A50" t="s">
        <v>112</v>
      </c>
      <c r="B50" t="s">
        <v>99</v>
      </c>
      <c r="C50" s="16">
        <f>C44/C$49</f>
        <v>22.868181818181817</v>
      </c>
      <c r="D50" t="s">
        <v>99</v>
      </c>
      <c r="E50" s="23">
        <f>E44/E49</f>
        <v>19.188340807174889</v>
      </c>
      <c r="F50" t="s">
        <v>99</v>
      </c>
      <c r="G50" t="str">
        <f>IF(H50&gt;0,"\textcolor{red}{+","\textcolor{OliveGreen}{")</f>
        <v>\textcolor{OliveGreen}{</v>
      </c>
      <c r="H50" s="9">
        <f t="shared" si="6"/>
        <v>-0.1609153294417659</v>
      </c>
      <c r="I50" s="9" t="s">
        <v>124</v>
      </c>
      <c r="J50" s="16">
        <v>24.316666666666666</v>
      </c>
      <c r="K50" t="s">
        <v>99</v>
      </c>
      <c r="L50" s="23">
        <f>L44/L49</f>
        <v>20.219730941704036</v>
      </c>
      <c r="M50" t="s">
        <v>99</v>
      </c>
      <c r="N50" t="s">
        <v>125</v>
      </c>
      <c r="O50" s="9">
        <f t="shared" si="2"/>
        <v>-0.1684826206290321</v>
      </c>
      <c r="P50" t="str">
        <f>P47</f>
        <v>}\\</v>
      </c>
    </row>
    <row r="51" spans="1:16" x14ac:dyDescent="0.25">
      <c r="A51" t="s">
        <v>113</v>
      </c>
      <c r="B51" t="s">
        <v>99</v>
      </c>
      <c r="C51" s="16">
        <f>C45/C$49</f>
        <v>11.136363636363637</v>
      </c>
      <c r="D51" t="s">
        <v>99</v>
      </c>
      <c r="E51" s="23">
        <f>E45/E49</f>
        <v>10.098654708520179</v>
      </c>
      <c r="F51" t="s">
        <v>99</v>
      </c>
      <c r="G51" t="str">
        <f>IF(H51&gt;0,"\textcolor{red}{+","\textcolor{OliveGreen}{")</f>
        <v>\textcolor{OliveGreen}{</v>
      </c>
      <c r="H51" s="9">
        <f t="shared" si="6"/>
        <v>-9.3182026173698224E-2</v>
      </c>
      <c r="I51" s="9" t="s">
        <v>124</v>
      </c>
      <c r="J51" s="16">
        <v>33.329166666666666</v>
      </c>
      <c r="K51" t="s">
        <v>99</v>
      </c>
      <c r="L51" s="23">
        <f>L45/L49</f>
        <v>28.255605381165918</v>
      </c>
      <c r="M51" t="s">
        <v>99</v>
      </c>
      <c r="N51" t="s">
        <v>125</v>
      </c>
      <c r="O51" s="9">
        <f t="shared" si="2"/>
        <v>-0.15222586679837224</v>
      </c>
      <c r="P51" t="str">
        <f>P50</f>
        <v>}\\</v>
      </c>
    </row>
    <row r="52" spans="1:16" x14ac:dyDescent="0.25">
      <c r="A52" t="s">
        <v>114</v>
      </c>
      <c r="B52" t="s">
        <v>99</v>
      </c>
      <c r="C52" s="8">
        <f>Results!B18</f>
        <v>61823</v>
      </c>
      <c r="D52" t="s">
        <v>99</v>
      </c>
      <c r="E52" s="8">
        <f>Results!B26</f>
        <v>50145</v>
      </c>
      <c r="F52" t="s">
        <v>99</v>
      </c>
      <c r="G52" t="str">
        <f>IF(H52&gt;0,"\textcolor{red}{+","\textcolor{OliveGreen}{")</f>
        <v>\textcolor{OliveGreen}{</v>
      </c>
      <c r="H52" s="9">
        <f t="shared" si="6"/>
        <v>-0.18889410090095918</v>
      </c>
      <c r="I52" s="9" t="s">
        <v>124</v>
      </c>
      <c r="J52" s="8">
        <v>69727</v>
      </c>
      <c r="K52" t="s">
        <v>99</v>
      </c>
      <c r="L52" s="8">
        <v>50373</v>
      </c>
      <c r="M52" t="s">
        <v>99</v>
      </c>
      <c r="N52" t="s">
        <v>125</v>
      </c>
      <c r="O52" s="9">
        <f t="shared" si="2"/>
        <v>-0.27756823038421269</v>
      </c>
      <c r="P52" t="str">
        <f>P51</f>
        <v>}\\</v>
      </c>
    </row>
    <row r="53" spans="1:16" x14ac:dyDescent="0.25">
      <c r="A53" t="s">
        <v>115</v>
      </c>
      <c r="B53" t="s">
        <v>99</v>
      </c>
      <c r="C53" s="8">
        <f>Results!E18</f>
        <v>146373</v>
      </c>
      <c r="D53" t="s">
        <v>99</v>
      </c>
      <c r="E53" s="8">
        <f>Results!E26</f>
        <v>117657</v>
      </c>
      <c r="F53" t="s">
        <v>99</v>
      </c>
      <c r="G53" t="str">
        <f>IF(H53&gt;0,"\textcolor{red}{+","\textcolor{OliveGreen}{")</f>
        <v>\textcolor{OliveGreen}{</v>
      </c>
      <c r="H53" s="9">
        <f t="shared" si="6"/>
        <v>-0.19618372240782112</v>
      </c>
      <c r="I53" s="9" t="s">
        <v>124</v>
      </c>
      <c r="J53" s="8">
        <v>157660</v>
      </c>
      <c r="K53" t="s">
        <v>99</v>
      </c>
      <c r="L53" s="8">
        <v>112311</v>
      </c>
      <c r="M53" t="s">
        <v>99</v>
      </c>
      <c r="N53" t="s">
        <v>125</v>
      </c>
      <c r="O53" s="9">
        <f t="shared" si="2"/>
        <v>-0.28763795509323864</v>
      </c>
      <c r="P53" t="str">
        <f>P52</f>
        <v>}\\</v>
      </c>
    </row>
    <row r="54" spans="1:16" x14ac:dyDescent="0.25">
      <c r="A54" t="s">
        <v>116</v>
      </c>
      <c r="B54" t="s">
        <v>99</v>
      </c>
      <c r="C54" s="8">
        <f>Results!D18</f>
        <v>4</v>
      </c>
      <c r="D54" t="s">
        <v>99</v>
      </c>
      <c r="E54" s="8">
        <f>Results!D26</f>
        <v>4</v>
      </c>
      <c r="F54" t="s">
        <v>99</v>
      </c>
      <c r="G54" t="str">
        <f>IF(H54&gt;0,"\textcolor{red}{+","\textcolor{OliveGreen}{")</f>
        <v>\textcolor{OliveGreen}{</v>
      </c>
      <c r="H54" s="9">
        <f t="shared" si="6"/>
        <v>0</v>
      </c>
      <c r="I54" s="9" t="s">
        <v>124</v>
      </c>
      <c r="J54" s="8">
        <v>6</v>
      </c>
      <c r="K54" t="s">
        <v>99</v>
      </c>
      <c r="L54" s="8">
        <v>6</v>
      </c>
      <c r="M54" t="s">
        <v>99</v>
      </c>
      <c r="N54" t="s">
        <v>125</v>
      </c>
      <c r="O54" s="9">
        <f t="shared" si="2"/>
        <v>0</v>
      </c>
      <c r="P54" t="str">
        <f>P53</f>
        <v>}\\</v>
      </c>
    </row>
    <row r="55" spans="1:16" x14ac:dyDescent="0.25">
      <c r="A55" t="s">
        <v>117</v>
      </c>
      <c r="B55" t="s">
        <v>99</v>
      </c>
      <c r="C55" s="8">
        <f>Results!F18</f>
        <v>183.82</v>
      </c>
      <c r="D55" t="s">
        <v>99</v>
      </c>
      <c r="E55" s="8">
        <f>Results!F26</f>
        <v>184.2</v>
      </c>
      <c r="F55" t="s">
        <v>99</v>
      </c>
      <c r="G55" t="str">
        <f>IF(H55&gt;0,"\textcolor{OliveGreen}{+","\textcolor{red}{")</f>
        <v>\textcolor{OliveGreen}{+</v>
      </c>
      <c r="H55" s="9">
        <f t="shared" si="6"/>
        <v>2.0672396910020427E-3</v>
      </c>
      <c r="I55" s="9" t="s">
        <v>124</v>
      </c>
      <c r="J55" s="8">
        <v>187.55</v>
      </c>
      <c r="K55" t="s">
        <v>99</v>
      </c>
      <c r="L55" s="8">
        <v>197.23</v>
      </c>
      <c r="M55" t="s">
        <v>99</v>
      </c>
      <c r="N55" t="s">
        <v>127</v>
      </c>
      <c r="O55" s="9">
        <f t="shared" si="2"/>
        <v>5.1612903225806334E-2</v>
      </c>
      <c r="P55" t="str">
        <f>P54</f>
        <v>}\\</v>
      </c>
    </row>
    <row r="56" spans="1:16" x14ac:dyDescent="0.25">
      <c r="A56" t="s">
        <v>112</v>
      </c>
      <c r="B56" t="s">
        <v>99</v>
      </c>
      <c r="C56" s="16">
        <f>C44/(C$55)</f>
        <v>27.369165487977369</v>
      </c>
      <c r="D56" t="s">
        <v>99</v>
      </c>
      <c r="E56" s="16">
        <f>E44/E$55</f>
        <v>23.230184581976115</v>
      </c>
      <c r="F56" t="s">
        <v>99</v>
      </c>
      <c r="G56" t="str">
        <f>IF(H56&gt;0,"\textcolor{red}{+","\textcolor{OliveGreen}{")</f>
        <v>\textcolor{OliveGreen}{</v>
      </c>
      <c r="H56" s="9">
        <f t="shared" si="6"/>
        <v>-0.15122788116500707</v>
      </c>
      <c r="I56" s="9" t="s">
        <v>124</v>
      </c>
      <c r="J56" s="16">
        <v>31.117035457211408</v>
      </c>
      <c r="K56" t="s">
        <v>99</v>
      </c>
      <c r="L56" s="16">
        <v>22.86163362571617</v>
      </c>
      <c r="M56" t="s">
        <v>99</v>
      </c>
      <c r="N56" t="s">
        <v>125</v>
      </c>
      <c r="O56" s="9">
        <f t="shared" si="2"/>
        <v>-0.26530168154505346</v>
      </c>
      <c r="P56" t="str">
        <f>P53</f>
        <v>}\\</v>
      </c>
    </row>
    <row r="57" spans="1:16" x14ac:dyDescent="0.25">
      <c r="A57" t="s">
        <v>113</v>
      </c>
      <c r="B57" t="s">
        <v>99</v>
      </c>
      <c r="C57" s="16">
        <f>C45/(C$55)</f>
        <v>13.328255902513328</v>
      </c>
      <c r="D57" t="s">
        <v>99</v>
      </c>
      <c r="E57" s="16">
        <f>E45/E$55</f>
        <v>12.225841476655809</v>
      </c>
      <c r="F57" t="s">
        <v>99</v>
      </c>
      <c r="G57" t="str">
        <f>IF(H57&gt;0,"\textcolor{red}{+","\textcolor{OliveGreen}{")</f>
        <v>\textcolor{OliveGreen}{</v>
      </c>
      <c r="H57" s="9">
        <f t="shared" si="6"/>
        <v>-8.2712579494338453E-2</v>
      </c>
      <c r="I57" s="9" t="s">
        <v>124</v>
      </c>
      <c r="J57" s="16">
        <v>42.649960010663818</v>
      </c>
      <c r="K57" t="s">
        <v>99</v>
      </c>
      <c r="L57" s="16">
        <v>31.94747249404249</v>
      </c>
      <c r="M57" t="s">
        <v>99</v>
      </c>
      <c r="N57" t="s">
        <v>125</v>
      </c>
      <c r="O57" s="9">
        <f t="shared" si="2"/>
        <v>-0.25093780894390927</v>
      </c>
      <c r="P57" t="str">
        <f>P56</f>
        <v>}\\</v>
      </c>
    </row>
    <row r="58" spans="1:16" s="13" customFormat="1" x14ac:dyDescent="0.25">
      <c r="A58" s="10" t="s">
        <v>98</v>
      </c>
      <c r="B58" s="10" t="s">
        <v>99</v>
      </c>
      <c r="C58" s="11" t="str">
        <f>Cycle_estimation!A25</f>
        <v>1PKE_0d</v>
      </c>
      <c r="D58" s="10" t="s">
        <v>99</v>
      </c>
      <c r="E58" s="11" t="str">
        <f>Cycle_estimation_with_XEf!A25</f>
        <v>1PKE_5d</v>
      </c>
      <c r="F58" s="10" t="s">
        <v>99</v>
      </c>
      <c r="G58"/>
      <c r="H58" s="12"/>
      <c r="I58" s="12"/>
      <c r="J58" s="12"/>
      <c r="K58" s="12"/>
      <c r="L58" s="12"/>
      <c r="M58" s="12"/>
      <c r="N58" s="12"/>
      <c r="O58" s="12"/>
      <c r="P58" s="10" t="str">
        <f>P47</f>
        <v>}\\</v>
      </c>
    </row>
    <row r="59" spans="1:16" x14ac:dyDescent="0.25">
      <c r="A59" s="14" t="s">
        <v>101</v>
      </c>
      <c r="B59" t="s">
        <v>99</v>
      </c>
      <c r="C59" s="8">
        <v>586</v>
      </c>
      <c r="D59" t="s">
        <v>99</v>
      </c>
      <c r="E59" s="8">
        <v>508</v>
      </c>
      <c r="F59" t="s">
        <v>99</v>
      </c>
      <c r="G59" t="str">
        <f t="shared" ref="G59:G67" si="7">IF(H59&gt;0,"\textcolor{red}{+","\textcolor{OliveGreen}{")</f>
        <v>\textcolor{OliveGreen}{</v>
      </c>
      <c r="H59" s="9">
        <f t="shared" ref="H59:H76" si="8">(E59-C59)/C59</f>
        <v>-0.13310580204778158</v>
      </c>
      <c r="P59" t="s">
        <v>102</v>
      </c>
    </row>
    <row r="60" spans="1:16" x14ac:dyDescent="0.25">
      <c r="A60" s="14" t="s">
        <v>103</v>
      </c>
      <c r="B60" t="s">
        <v>99</v>
      </c>
      <c r="C60" s="8">
        <v>676</v>
      </c>
      <c r="D60" t="s">
        <v>99</v>
      </c>
      <c r="E60" s="8">
        <v>461</v>
      </c>
      <c r="F60" t="s">
        <v>99</v>
      </c>
      <c r="G60" t="str">
        <f t="shared" si="7"/>
        <v>\textcolor{OliveGreen}{</v>
      </c>
      <c r="H60" s="9">
        <f t="shared" si="8"/>
        <v>-0.31804733727810652</v>
      </c>
      <c r="P60" t="s">
        <v>102</v>
      </c>
    </row>
    <row r="61" spans="1:16" x14ac:dyDescent="0.25">
      <c r="A61" s="14" t="s">
        <v>104</v>
      </c>
      <c r="B61" t="s">
        <v>99</v>
      </c>
      <c r="C61" s="8">
        <v>708</v>
      </c>
      <c r="D61" t="s">
        <v>99</v>
      </c>
      <c r="E61" s="8">
        <v>493</v>
      </c>
      <c r="F61" t="s">
        <v>99</v>
      </c>
      <c r="G61" t="str">
        <f t="shared" si="7"/>
        <v>\textcolor{OliveGreen}{</v>
      </c>
      <c r="H61" s="9">
        <f t="shared" si="8"/>
        <v>-0.3036723163841808</v>
      </c>
      <c r="P61" t="s">
        <v>102</v>
      </c>
    </row>
    <row r="62" spans="1:16" x14ac:dyDescent="0.25">
      <c r="A62" s="14" t="s">
        <v>105</v>
      </c>
      <c r="B62" t="s">
        <v>99</v>
      </c>
      <c r="C62" s="8">
        <v>756</v>
      </c>
      <c r="D62" t="s">
        <v>99</v>
      </c>
      <c r="E62" s="8">
        <v>636</v>
      </c>
      <c r="F62" t="s">
        <v>99</v>
      </c>
      <c r="G62" t="str">
        <f t="shared" si="7"/>
        <v>\textcolor{OliveGreen}{</v>
      </c>
      <c r="H62" s="9">
        <f t="shared" si="8"/>
        <v>-0.15873015873015872</v>
      </c>
      <c r="P62" t="s">
        <v>102</v>
      </c>
    </row>
    <row r="63" spans="1:16" x14ac:dyDescent="0.25">
      <c r="A63" t="s">
        <v>106</v>
      </c>
      <c r="B63" t="s">
        <v>99</v>
      </c>
      <c r="C63" s="8">
        <f>Cycle_estimation!B25</f>
        <v>2990</v>
      </c>
      <c r="D63" t="s">
        <v>99</v>
      </c>
      <c r="E63" s="8">
        <f>Cycle_estimation_with_XEf!B25</f>
        <v>2423</v>
      </c>
      <c r="F63" t="s">
        <v>99</v>
      </c>
      <c r="G63" t="str">
        <f t="shared" si="7"/>
        <v>\textcolor{OliveGreen}{</v>
      </c>
      <c r="H63" s="9">
        <f t="shared" si="8"/>
        <v>-0.18963210702341138</v>
      </c>
      <c r="P63" t="str">
        <f>P58</f>
        <v>}\\</v>
      </c>
    </row>
    <row r="64" spans="1:16" x14ac:dyDescent="0.25">
      <c r="A64" t="s">
        <v>107</v>
      </c>
      <c r="B64" t="s">
        <v>99</v>
      </c>
      <c r="C64" s="8">
        <f>Cycle_estimation!C25</f>
        <v>4063</v>
      </c>
      <c r="D64" t="s">
        <v>99</v>
      </c>
      <c r="E64" s="8">
        <f>Cycle_estimation_with_XEf!C25</f>
        <v>3395</v>
      </c>
      <c r="F64" t="s">
        <v>99</v>
      </c>
      <c r="G64" t="str">
        <f t="shared" si="7"/>
        <v>\textcolor{OliveGreen}{</v>
      </c>
      <c r="H64" s="9">
        <f t="shared" si="8"/>
        <v>-0.16441053408811224</v>
      </c>
      <c r="P64" t="str">
        <f>P63</f>
        <v>}\\</v>
      </c>
    </row>
    <row r="65" spans="1:16" x14ac:dyDescent="0.25">
      <c r="A65" t="s">
        <v>118</v>
      </c>
      <c r="B65" t="s">
        <v>99</v>
      </c>
      <c r="C65" s="8">
        <v>52587</v>
      </c>
      <c r="D65" t="s">
        <v>99</v>
      </c>
      <c r="E65" s="15"/>
      <c r="F65" t="s">
        <v>99</v>
      </c>
      <c r="G65" t="str">
        <f t="shared" si="7"/>
        <v>\textcolor{OliveGreen}{</v>
      </c>
      <c r="H65" s="9">
        <f t="shared" si="8"/>
        <v>-1</v>
      </c>
      <c r="P65" t="str">
        <f>P64</f>
        <v>}\\</v>
      </c>
    </row>
    <row r="66" spans="1:16" x14ac:dyDescent="0.25">
      <c r="A66" t="s">
        <v>119</v>
      </c>
      <c r="B66" t="s">
        <v>99</v>
      </c>
      <c r="C66" s="8">
        <v>10674</v>
      </c>
      <c r="D66" t="s">
        <v>99</v>
      </c>
      <c r="E66" s="15"/>
      <c r="F66" t="s">
        <v>99</v>
      </c>
      <c r="G66" t="str">
        <f t="shared" si="7"/>
        <v>\textcolor{OliveGreen}{</v>
      </c>
      <c r="H66" s="9">
        <f t="shared" si="8"/>
        <v>-1</v>
      </c>
      <c r="P66" t="str">
        <f>P65</f>
        <v>}\\</v>
      </c>
    </row>
    <row r="67" spans="1:16" x14ac:dyDescent="0.25">
      <c r="A67" t="s">
        <v>120</v>
      </c>
      <c r="B67" t="s">
        <v>99</v>
      </c>
      <c r="C67" s="8">
        <v>2</v>
      </c>
      <c r="D67" t="s">
        <v>99</v>
      </c>
      <c r="E67" s="15"/>
      <c r="F67" t="s">
        <v>99</v>
      </c>
      <c r="G67" t="str">
        <f t="shared" si="7"/>
        <v>\textcolor{OliveGreen}{</v>
      </c>
      <c r="H67" s="9">
        <f t="shared" si="8"/>
        <v>-1</v>
      </c>
      <c r="P67" t="str">
        <f>P66</f>
        <v>}\\</v>
      </c>
    </row>
    <row r="68" spans="1:16" x14ac:dyDescent="0.25">
      <c r="A68" t="s">
        <v>121</v>
      </c>
      <c r="B68" t="s">
        <v>99</v>
      </c>
      <c r="C68" s="8">
        <v>260</v>
      </c>
      <c r="D68" t="s">
        <v>99</v>
      </c>
      <c r="E68" s="15"/>
      <c r="F68" t="s">
        <v>99</v>
      </c>
      <c r="G68" t="str">
        <f>IF(H68&gt;0,"\textcolor{OliveGreen}{+","\textcolor{red}{")</f>
        <v>\textcolor{red}{</v>
      </c>
      <c r="H68" s="9">
        <f t="shared" si="8"/>
        <v>-1</v>
      </c>
      <c r="P68" t="str">
        <f>P67</f>
        <v>}\\</v>
      </c>
    </row>
    <row r="69" spans="1:16" x14ac:dyDescent="0.25">
      <c r="A69" t="s">
        <v>112</v>
      </c>
      <c r="B69" t="s">
        <v>99</v>
      </c>
      <c r="C69" s="16">
        <f>C63/C$68</f>
        <v>11.5</v>
      </c>
      <c r="D69" t="s">
        <v>99</v>
      </c>
      <c r="E69" s="17">
        <v>1</v>
      </c>
      <c r="F69" t="s">
        <v>99</v>
      </c>
      <c r="G69" t="str">
        <f>IF(H69&gt;0,"\textcolor{red}{+","\textcolor{OliveGreen}{")</f>
        <v>\textcolor{OliveGreen}{</v>
      </c>
      <c r="H69" s="9">
        <f t="shared" si="8"/>
        <v>-0.91304347826086951</v>
      </c>
      <c r="P69" t="str">
        <f>P66</f>
        <v>}\\</v>
      </c>
    </row>
    <row r="70" spans="1:16" x14ac:dyDescent="0.25">
      <c r="A70" t="s">
        <v>113</v>
      </c>
      <c r="B70" t="s">
        <v>99</v>
      </c>
      <c r="C70" s="16">
        <f>C64/C$68</f>
        <v>15.626923076923077</v>
      </c>
      <c r="D70" t="s">
        <v>99</v>
      </c>
      <c r="E70" s="17">
        <v>1</v>
      </c>
      <c r="F70" t="s">
        <v>99</v>
      </c>
      <c r="G70" t="str">
        <f>IF(H70&gt;0,"\textcolor{red}{+","\textcolor{OliveGreen}{")</f>
        <v>\textcolor{OliveGreen}{</v>
      </c>
      <c r="H70" s="9">
        <f t="shared" si="8"/>
        <v>-0.93600787595372881</v>
      </c>
      <c r="P70" t="str">
        <f>P69</f>
        <v>}\\</v>
      </c>
    </row>
    <row r="71" spans="1:16" x14ac:dyDescent="0.25">
      <c r="A71" t="s">
        <v>114</v>
      </c>
      <c r="B71" t="s">
        <v>99</v>
      </c>
      <c r="C71" s="8">
        <f>Results!B19</f>
        <v>37252</v>
      </c>
      <c r="D71" t="s">
        <v>99</v>
      </c>
      <c r="E71" s="8">
        <f>Results!B27</f>
        <v>26998</v>
      </c>
      <c r="F71" t="s">
        <v>99</v>
      </c>
      <c r="G71" t="str">
        <f>IF(H71&gt;0,"\textcolor{red}{+","\textcolor{OliveGreen}{")</f>
        <v>\textcolor{OliveGreen}{</v>
      </c>
      <c r="H71" s="9">
        <f t="shared" si="8"/>
        <v>-0.27526038870396219</v>
      </c>
      <c r="P71" t="str">
        <f>P70</f>
        <v>}\\</v>
      </c>
    </row>
    <row r="72" spans="1:16" x14ac:dyDescent="0.25">
      <c r="A72" t="s">
        <v>115</v>
      </c>
      <c r="B72" t="s">
        <v>99</v>
      </c>
      <c r="C72" s="8">
        <f>Results!E19</f>
        <v>82814</v>
      </c>
      <c r="D72" t="s">
        <v>99</v>
      </c>
      <c r="E72" s="8">
        <f>Results!E27</f>
        <v>57028</v>
      </c>
      <c r="F72" t="s">
        <v>99</v>
      </c>
      <c r="G72" t="str">
        <f>IF(H72&gt;0,"\textcolor{red}{+","\textcolor{OliveGreen}{")</f>
        <v>\textcolor{OliveGreen}{</v>
      </c>
      <c r="H72" s="9">
        <f t="shared" si="8"/>
        <v>-0.31137247325331463</v>
      </c>
      <c r="P72" t="str">
        <f>P71</f>
        <v>}\\</v>
      </c>
    </row>
    <row r="73" spans="1:16" x14ac:dyDescent="0.25">
      <c r="A73" t="s">
        <v>116</v>
      </c>
      <c r="B73" t="s">
        <v>99</v>
      </c>
      <c r="C73" s="8">
        <f>Results!D19</f>
        <v>6</v>
      </c>
      <c r="D73" t="s">
        <v>99</v>
      </c>
      <c r="E73" s="8">
        <f>Results!D27</f>
        <v>6</v>
      </c>
      <c r="F73" t="s">
        <v>99</v>
      </c>
      <c r="G73" t="str">
        <f>IF(H73&gt;0,"\textcolor{red}{+","\textcolor{OliveGreen}{")</f>
        <v>\textcolor{OliveGreen}{</v>
      </c>
      <c r="H73" s="9">
        <f t="shared" si="8"/>
        <v>0</v>
      </c>
      <c r="P73" t="str">
        <f>P72</f>
        <v>}\\</v>
      </c>
    </row>
    <row r="74" spans="1:16" x14ac:dyDescent="0.25">
      <c r="A74" t="s">
        <v>117</v>
      </c>
      <c r="B74" t="s">
        <v>99</v>
      </c>
      <c r="C74" s="8">
        <f>Results!F19</f>
        <v>191.09</v>
      </c>
      <c r="D74" t="s">
        <v>99</v>
      </c>
      <c r="E74" s="8">
        <f>Results!F27</f>
        <v>193.57</v>
      </c>
      <c r="F74" t="s">
        <v>99</v>
      </c>
      <c r="G74" t="str">
        <f>IF(H74&gt;0,"\textcolor{OliveGreen}{+","\textcolor{red}{")</f>
        <v>\textcolor{OliveGreen}{+</v>
      </c>
      <c r="H74" s="9">
        <f t="shared" si="8"/>
        <v>1.2978177821968652E-2</v>
      </c>
      <c r="P74" t="str">
        <f>P73</f>
        <v>}\\</v>
      </c>
    </row>
    <row r="75" spans="1:16" x14ac:dyDescent="0.25">
      <c r="A75" t="s">
        <v>112</v>
      </c>
      <c r="B75" t="s">
        <v>99</v>
      </c>
      <c r="C75" s="16">
        <f>C63/(C$74)</f>
        <v>15.647077293421948</v>
      </c>
      <c r="D75" t="s">
        <v>99</v>
      </c>
      <c r="E75" s="16">
        <f>E63/E$74</f>
        <v>12.517435553029912</v>
      </c>
      <c r="F75" t="s">
        <v>99</v>
      </c>
      <c r="G75" t="str">
        <f>IF(H75&gt;0,"\textcolor{red}{+","\textcolor{OliveGreen}{")</f>
        <v>\textcolor{OliveGreen}{</v>
      </c>
      <c r="H75" s="9">
        <f t="shared" si="8"/>
        <v>-0.20001446159582409</v>
      </c>
      <c r="P75" t="str">
        <f>P72</f>
        <v>}\\</v>
      </c>
    </row>
    <row r="76" spans="1:16" x14ac:dyDescent="0.25">
      <c r="A76" t="s">
        <v>113</v>
      </c>
      <c r="B76" t="s">
        <v>99</v>
      </c>
      <c r="C76" s="16">
        <f>C64/(C$74)</f>
        <v>21.262232455910826</v>
      </c>
      <c r="D76" t="s">
        <v>99</v>
      </c>
      <c r="E76" s="16">
        <f>E64/E$74</f>
        <v>17.53887482564447</v>
      </c>
      <c r="F76" t="s">
        <v>99</v>
      </c>
      <c r="G76" t="str">
        <f>IF(H76&gt;0,"\textcolor{red}{+","\textcolor{OliveGreen}{")</f>
        <v>\textcolor{OliveGreen}{</v>
      </c>
      <c r="H76" s="9">
        <f t="shared" si="8"/>
        <v>-0.17511602499817822</v>
      </c>
      <c r="P76" t="str">
        <f>P75</f>
        <v>}\\</v>
      </c>
    </row>
    <row r="77" spans="1:16" s="13" customFormat="1" x14ac:dyDescent="0.25">
      <c r="A77" s="10" t="s">
        <v>98</v>
      </c>
      <c r="B77" s="10" t="s">
        <v>99</v>
      </c>
      <c r="C77" s="11" t="str">
        <f>Cycle_estimation!A26</f>
        <v>3PKE_0d</v>
      </c>
      <c r="D77" s="10" t="s">
        <v>99</v>
      </c>
      <c r="E77" s="11" t="str">
        <f>Cycle_estimation_with_XEf!A26</f>
        <v>3PKE_5d</v>
      </c>
      <c r="F77" s="10" t="s">
        <v>99</v>
      </c>
      <c r="G77"/>
      <c r="H77" s="12"/>
      <c r="I77" s="12"/>
      <c r="J77" s="12"/>
      <c r="K77" s="12"/>
      <c r="L77" s="12"/>
      <c r="M77" s="12"/>
      <c r="N77" s="12"/>
      <c r="O77" s="12"/>
      <c r="P77" s="10" t="str">
        <f>P70</f>
        <v>}\\</v>
      </c>
    </row>
    <row r="78" spans="1:16" x14ac:dyDescent="0.25">
      <c r="A78" s="14" t="s">
        <v>101</v>
      </c>
      <c r="B78" t="s">
        <v>99</v>
      </c>
      <c r="C78" s="8">
        <v>852</v>
      </c>
      <c r="D78" t="s">
        <v>99</v>
      </c>
      <c r="E78" s="8">
        <v>756</v>
      </c>
      <c r="F78" t="s">
        <v>99</v>
      </c>
      <c r="G78" t="str">
        <f t="shared" ref="G78:G86" si="9">IF(H78&gt;0,"\textcolor{red}{+","\textcolor{OliveGreen}{")</f>
        <v>\textcolor{OliveGreen}{</v>
      </c>
      <c r="H78" s="9">
        <f t="shared" ref="H78:H95" si="10">(E78-C78)/C78</f>
        <v>-0.11267605633802817</v>
      </c>
      <c r="P78" t="s">
        <v>102</v>
      </c>
    </row>
    <row r="79" spans="1:16" x14ac:dyDescent="0.25">
      <c r="A79" s="14" t="s">
        <v>103</v>
      </c>
      <c r="B79" t="s">
        <v>99</v>
      </c>
      <c r="C79" s="8">
        <v>983</v>
      </c>
      <c r="D79" t="s">
        <v>99</v>
      </c>
      <c r="E79" s="8">
        <v>780</v>
      </c>
      <c r="F79" t="s">
        <v>99</v>
      </c>
      <c r="G79" t="str">
        <f t="shared" si="9"/>
        <v>\textcolor{OliveGreen}{</v>
      </c>
      <c r="H79" s="9">
        <f t="shared" si="10"/>
        <v>-0.20651068158697863</v>
      </c>
      <c r="P79" t="s">
        <v>102</v>
      </c>
    </row>
    <row r="80" spans="1:16" x14ac:dyDescent="0.25">
      <c r="A80" s="14" t="s">
        <v>104</v>
      </c>
      <c r="B80" t="s">
        <v>99</v>
      </c>
      <c r="C80" s="8">
        <v>1031</v>
      </c>
      <c r="D80" t="s">
        <v>99</v>
      </c>
      <c r="E80" s="8">
        <v>828</v>
      </c>
      <c r="F80" t="s">
        <v>99</v>
      </c>
      <c r="G80" t="str">
        <f t="shared" si="9"/>
        <v>\textcolor{OliveGreen}{</v>
      </c>
      <c r="H80" s="9">
        <f t="shared" si="10"/>
        <v>-0.19689621726479145</v>
      </c>
      <c r="P80" t="s">
        <v>102</v>
      </c>
    </row>
    <row r="81" spans="1:16" x14ac:dyDescent="0.25">
      <c r="A81" s="14" t="s">
        <v>105</v>
      </c>
      <c r="B81" t="s">
        <v>99</v>
      </c>
      <c r="C81" s="8">
        <v>1119</v>
      </c>
      <c r="D81" t="s">
        <v>99</v>
      </c>
      <c r="E81" s="8">
        <v>950</v>
      </c>
      <c r="F81" t="s">
        <v>99</v>
      </c>
      <c r="G81" t="str">
        <f t="shared" si="9"/>
        <v>\textcolor{OliveGreen}{</v>
      </c>
      <c r="H81" s="9">
        <f t="shared" si="10"/>
        <v>-0.15102770330652368</v>
      </c>
      <c r="P81" t="s">
        <v>102</v>
      </c>
    </row>
    <row r="82" spans="1:16" x14ac:dyDescent="0.25">
      <c r="A82" t="s">
        <v>106</v>
      </c>
      <c r="B82" t="s">
        <v>99</v>
      </c>
      <c r="C82" s="8">
        <f>Cycle_estimation!B26</f>
        <v>4248</v>
      </c>
      <c r="D82" t="s">
        <v>99</v>
      </c>
      <c r="E82" s="8">
        <f>Cycle_estimation_with_XEf!B26</f>
        <v>3650</v>
      </c>
      <c r="F82" t="s">
        <v>99</v>
      </c>
      <c r="G82" t="str">
        <f t="shared" si="9"/>
        <v>\textcolor{OliveGreen}{</v>
      </c>
      <c r="H82" s="9">
        <f t="shared" si="10"/>
        <v>-0.14077212806026365</v>
      </c>
      <c r="P82" t="str">
        <f>P77</f>
        <v>}\\</v>
      </c>
    </row>
    <row r="83" spans="1:16" x14ac:dyDescent="0.25">
      <c r="A83" t="s">
        <v>107</v>
      </c>
      <c r="B83" t="s">
        <v>99</v>
      </c>
      <c r="C83" s="8">
        <f>Cycle_estimation!C26</f>
        <v>5839</v>
      </c>
      <c r="D83" t="s">
        <v>99</v>
      </c>
      <c r="E83" s="8">
        <f>Cycle_estimation_with_XEf!C26</f>
        <v>5076</v>
      </c>
      <c r="F83" t="s">
        <v>99</v>
      </c>
      <c r="G83" t="str">
        <f t="shared" si="9"/>
        <v>\textcolor{OliveGreen}{</v>
      </c>
      <c r="H83" s="9">
        <f t="shared" si="10"/>
        <v>-0.13067306045555746</v>
      </c>
      <c r="P83" t="str">
        <f>P82</f>
        <v>}\\</v>
      </c>
    </row>
    <row r="84" spans="1:16" x14ac:dyDescent="0.25">
      <c r="A84" t="s">
        <v>118</v>
      </c>
      <c r="B84" t="s">
        <v>99</v>
      </c>
      <c r="C84" s="8">
        <v>71044</v>
      </c>
      <c r="D84" t="s">
        <v>99</v>
      </c>
      <c r="E84" s="15"/>
      <c r="F84" t="s">
        <v>99</v>
      </c>
      <c r="G84" t="str">
        <f t="shared" si="9"/>
        <v>\textcolor{OliveGreen}{</v>
      </c>
      <c r="H84" s="9">
        <f t="shared" si="10"/>
        <v>-1</v>
      </c>
      <c r="P84" t="str">
        <f>P83</f>
        <v>}\\</v>
      </c>
    </row>
    <row r="85" spans="1:16" x14ac:dyDescent="0.25">
      <c r="A85" t="s">
        <v>119</v>
      </c>
      <c r="B85" t="s">
        <v>99</v>
      </c>
      <c r="C85" s="8">
        <v>13476</v>
      </c>
      <c r="D85" t="s">
        <v>99</v>
      </c>
      <c r="E85" s="15"/>
      <c r="F85" t="s">
        <v>99</v>
      </c>
      <c r="G85" t="str">
        <f t="shared" si="9"/>
        <v>\textcolor{OliveGreen}{</v>
      </c>
      <c r="H85" s="9">
        <f t="shared" si="10"/>
        <v>-1</v>
      </c>
      <c r="P85" t="str">
        <f>P84</f>
        <v>}\\</v>
      </c>
    </row>
    <row r="86" spans="1:16" x14ac:dyDescent="0.25">
      <c r="A86" t="s">
        <v>120</v>
      </c>
      <c r="B86" t="s">
        <v>99</v>
      </c>
      <c r="C86" s="8">
        <v>2</v>
      </c>
      <c r="D86" t="s">
        <v>99</v>
      </c>
      <c r="E86" s="15"/>
      <c r="F86" t="s">
        <v>99</v>
      </c>
      <c r="G86" t="str">
        <f t="shared" si="9"/>
        <v>\textcolor{OliveGreen}{</v>
      </c>
      <c r="H86" s="9">
        <f t="shared" si="10"/>
        <v>-1</v>
      </c>
      <c r="P86" t="str">
        <f>P85</f>
        <v>}\\</v>
      </c>
    </row>
    <row r="87" spans="1:16" x14ac:dyDescent="0.25">
      <c r="A87" t="s">
        <v>121</v>
      </c>
      <c r="B87" t="s">
        <v>99</v>
      </c>
      <c r="C87" s="8">
        <v>249</v>
      </c>
      <c r="D87" t="s">
        <v>99</v>
      </c>
      <c r="E87" s="15"/>
      <c r="F87" t="s">
        <v>99</v>
      </c>
      <c r="G87" t="str">
        <f>IF(H87&gt;0,"\textcolor{OliveGreen}{+","\textcolor{red}{")</f>
        <v>\textcolor{red}{</v>
      </c>
      <c r="H87" s="9">
        <f t="shared" si="10"/>
        <v>-1</v>
      </c>
      <c r="P87" t="str">
        <f>P86</f>
        <v>}\\</v>
      </c>
    </row>
    <row r="88" spans="1:16" x14ac:dyDescent="0.25">
      <c r="A88" t="s">
        <v>112</v>
      </c>
      <c r="B88" t="s">
        <v>99</v>
      </c>
      <c r="C88" s="16">
        <f>C82/C$87</f>
        <v>17.060240963855421</v>
      </c>
      <c r="D88" t="s">
        <v>99</v>
      </c>
      <c r="E88" s="17">
        <v>1</v>
      </c>
      <c r="F88" t="s">
        <v>99</v>
      </c>
      <c r="G88" t="str">
        <f>IF(H88&gt;0,"\textcolor{red}{+","\textcolor{OliveGreen}{")</f>
        <v>\textcolor{OliveGreen}{</v>
      </c>
      <c r="H88" s="9">
        <f t="shared" si="10"/>
        <v>-0.94138418079096042</v>
      </c>
      <c r="P88" t="str">
        <f>P85</f>
        <v>}\\</v>
      </c>
    </row>
    <row r="89" spans="1:16" x14ac:dyDescent="0.25">
      <c r="A89" t="s">
        <v>113</v>
      </c>
      <c r="B89" t="s">
        <v>99</v>
      </c>
      <c r="C89" s="16">
        <f>C83/C$87</f>
        <v>23.449799196787147</v>
      </c>
      <c r="D89" t="s">
        <v>99</v>
      </c>
      <c r="E89" s="17">
        <v>1</v>
      </c>
      <c r="F89" t="s">
        <v>99</v>
      </c>
      <c r="G89" t="str">
        <f>IF(H89&gt;0,"\textcolor{red}{+","\textcolor{OliveGreen}{")</f>
        <v>\textcolor{OliveGreen}{</v>
      </c>
      <c r="H89" s="9">
        <f t="shared" si="10"/>
        <v>-0.9573557115944511</v>
      </c>
      <c r="P89" t="str">
        <f>P88</f>
        <v>}\\</v>
      </c>
    </row>
    <row r="90" spans="1:16" x14ac:dyDescent="0.25">
      <c r="A90" t="s">
        <v>114</v>
      </c>
      <c r="B90" t="s">
        <v>99</v>
      </c>
      <c r="C90" s="8">
        <f>Results!B20</f>
        <v>48029</v>
      </c>
      <c r="D90" t="s">
        <v>99</v>
      </c>
      <c r="E90" s="8">
        <f>Results!B28</f>
        <v>43014</v>
      </c>
      <c r="F90" t="s">
        <v>99</v>
      </c>
      <c r="G90" t="str">
        <f>IF(H90&gt;0,"\textcolor{red}{+","\textcolor{OliveGreen}{")</f>
        <v>\textcolor{OliveGreen}{</v>
      </c>
      <c r="H90" s="9">
        <f t="shared" si="10"/>
        <v>-0.10441608195048825</v>
      </c>
      <c r="P90" t="str">
        <f>P89</f>
        <v>}\\</v>
      </c>
    </row>
    <row r="91" spans="1:16" x14ac:dyDescent="0.25">
      <c r="A91" t="s">
        <v>115</v>
      </c>
      <c r="B91" t="s">
        <v>99</v>
      </c>
      <c r="C91" s="8">
        <f>Results!E20</f>
        <v>108844</v>
      </c>
      <c r="D91" t="s">
        <v>99</v>
      </c>
      <c r="E91" s="8">
        <f>Results!E28</f>
        <v>96859</v>
      </c>
      <c r="F91" t="s">
        <v>99</v>
      </c>
      <c r="G91" t="str">
        <f>IF(H91&gt;0,"\textcolor{red}{+","\textcolor{OliveGreen}{")</f>
        <v>\textcolor{OliveGreen}{</v>
      </c>
      <c r="H91" s="9">
        <f t="shared" si="10"/>
        <v>-0.11011171952519201</v>
      </c>
      <c r="P91" t="str">
        <f>P90</f>
        <v>}\\</v>
      </c>
    </row>
    <row r="92" spans="1:16" x14ac:dyDescent="0.25">
      <c r="A92" t="s">
        <v>116</v>
      </c>
      <c r="B92" t="s">
        <v>99</v>
      </c>
      <c r="C92" s="8">
        <f>Results!D20</f>
        <v>6</v>
      </c>
      <c r="D92" t="s">
        <v>99</v>
      </c>
      <c r="E92" s="8">
        <f>Results!D28</f>
        <v>6</v>
      </c>
      <c r="F92" t="s">
        <v>99</v>
      </c>
      <c r="G92" t="str">
        <f>IF(H92&gt;0,"\textcolor{red}{+","\textcolor{OliveGreen}{")</f>
        <v>\textcolor{OliveGreen}{</v>
      </c>
      <c r="H92" s="9">
        <f t="shared" si="10"/>
        <v>0</v>
      </c>
      <c r="P92" t="str">
        <f>P91</f>
        <v>}\\</v>
      </c>
    </row>
    <row r="93" spans="1:16" x14ac:dyDescent="0.25">
      <c r="A93" t="s">
        <v>117</v>
      </c>
      <c r="B93" t="s">
        <v>99</v>
      </c>
      <c r="C93" s="8">
        <f>Results!F20</f>
        <v>194.7</v>
      </c>
      <c r="D93" t="s">
        <v>99</v>
      </c>
      <c r="E93" s="8">
        <f>Results!F28</f>
        <v>189.83</v>
      </c>
      <c r="F93" t="s">
        <v>99</v>
      </c>
      <c r="G93" t="str">
        <f>IF(H93&gt;0,"\textcolor{OliveGreen}{+","\textcolor{red}{")</f>
        <v>\textcolor{red}{</v>
      </c>
      <c r="H93" s="9">
        <f t="shared" si="10"/>
        <v>-2.5012840267077435E-2</v>
      </c>
      <c r="P93" t="str">
        <f>P92</f>
        <v>}\\</v>
      </c>
    </row>
    <row r="94" spans="1:16" x14ac:dyDescent="0.25">
      <c r="A94" t="s">
        <v>112</v>
      </c>
      <c r="B94" t="s">
        <v>99</v>
      </c>
      <c r="C94" s="16">
        <f>C82/(C$93)</f>
        <v>21.81818181818182</v>
      </c>
      <c r="D94" t="s">
        <v>99</v>
      </c>
      <c r="E94" s="16">
        <f>E82/E$93</f>
        <v>19.227730074276984</v>
      </c>
      <c r="F94" t="s">
        <v>99</v>
      </c>
      <c r="G94" t="str">
        <f>IF(H94&gt;0,"\textcolor{red}{+","\textcolor{OliveGreen}{")</f>
        <v>\textcolor{OliveGreen}{</v>
      </c>
      <c r="H94" s="9">
        <f t="shared" si="10"/>
        <v>-0.11872903826230498</v>
      </c>
      <c r="P94" t="str">
        <f>P91</f>
        <v>}\\</v>
      </c>
    </row>
    <row r="95" spans="1:16" x14ac:dyDescent="0.25">
      <c r="A95" t="s">
        <v>113</v>
      </c>
      <c r="B95" t="s">
        <v>99</v>
      </c>
      <c r="C95" s="16">
        <f>C83/(C$93)</f>
        <v>29.989727786337959</v>
      </c>
      <c r="D95" t="s">
        <v>99</v>
      </c>
      <c r="E95" s="16">
        <f>E83/E$93</f>
        <v>26.739714481378073</v>
      </c>
      <c r="F95" t="s">
        <v>99</v>
      </c>
      <c r="G95" t="str">
        <f>IF(H95&gt;0,"\textcolor{red}{+","\textcolor{OliveGreen}{")</f>
        <v>\textcolor{OliveGreen}{</v>
      </c>
      <c r="H95" s="9">
        <f t="shared" si="10"/>
        <v>-0.10837088379443222</v>
      </c>
      <c r="P95" t="str">
        <f>P94</f>
        <v>}\\</v>
      </c>
    </row>
    <row r="96" spans="1:16" s="13" customFormat="1" x14ac:dyDescent="0.25">
      <c r="A96" s="10" t="s">
        <v>98</v>
      </c>
      <c r="B96" s="10" t="s">
        <v>99</v>
      </c>
      <c r="C96" s="11" t="str">
        <f>Cycle_estimation!A27</f>
        <v>5PKE_0d</v>
      </c>
      <c r="D96" s="10" t="s">
        <v>99</v>
      </c>
      <c r="E96" s="11" t="str">
        <f>Cycle_estimation_with_XEf!A27</f>
        <v>5PKE_5d</v>
      </c>
      <c r="F96" s="10" t="s">
        <v>99</v>
      </c>
      <c r="G96"/>
      <c r="H96" s="12"/>
      <c r="I96" s="12"/>
      <c r="J96" s="12"/>
      <c r="K96" s="12"/>
      <c r="L96" s="12"/>
      <c r="M96" s="12"/>
      <c r="N96" s="12"/>
      <c r="O96" s="12"/>
      <c r="P96" s="10" t="str">
        <f>P87</f>
        <v>}\\</v>
      </c>
    </row>
    <row r="97" spans="1:16" x14ac:dyDescent="0.25">
      <c r="A97" s="14" t="s">
        <v>101</v>
      </c>
      <c r="B97" t="s">
        <v>99</v>
      </c>
      <c r="C97" s="8">
        <v>1170</v>
      </c>
      <c r="D97" t="s">
        <v>99</v>
      </c>
      <c r="E97" s="8">
        <v>946</v>
      </c>
      <c r="F97" t="s">
        <v>99</v>
      </c>
      <c r="G97" t="str">
        <f t="shared" ref="G97:G105" si="11">IF(H97&gt;0,"\textcolor{red}{+","\textcolor{OliveGreen}{")</f>
        <v>\textcolor{OliveGreen}{</v>
      </c>
      <c r="H97" s="9">
        <f t="shared" ref="H97:H114" si="12">(E97-C97)/C97</f>
        <v>-0.19145299145299147</v>
      </c>
      <c r="P97" t="s">
        <v>102</v>
      </c>
    </row>
    <row r="98" spans="1:16" x14ac:dyDescent="0.25">
      <c r="A98" s="14" t="s">
        <v>103</v>
      </c>
      <c r="B98" t="s">
        <v>99</v>
      </c>
      <c r="C98" s="8">
        <v>1349</v>
      </c>
      <c r="D98" t="s">
        <v>99</v>
      </c>
      <c r="E98" s="8">
        <v>978</v>
      </c>
      <c r="F98" t="s">
        <v>99</v>
      </c>
      <c r="G98" t="str">
        <f t="shared" si="11"/>
        <v>\textcolor{OliveGreen}{</v>
      </c>
      <c r="H98" s="9">
        <f t="shared" si="12"/>
        <v>-0.27501853224610823</v>
      </c>
      <c r="P98" t="s">
        <v>102</v>
      </c>
    </row>
    <row r="99" spans="1:16" x14ac:dyDescent="0.25">
      <c r="A99" s="14" t="s">
        <v>104</v>
      </c>
      <c r="B99" t="s">
        <v>99</v>
      </c>
      <c r="C99" s="8">
        <v>1413</v>
      </c>
      <c r="D99" t="s">
        <v>99</v>
      </c>
      <c r="E99" s="8">
        <v>1042</v>
      </c>
      <c r="F99" t="s">
        <v>99</v>
      </c>
      <c r="G99" t="str">
        <f t="shared" si="11"/>
        <v>\textcolor{OliveGreen}{</v>
      </c>
      <c r="H99" s="9">
        <f t="shared" si="12"/>
        <v>-0.26256192498230713</v>
      </c>
      <c r="P99" t="s">
        <v>102</v>
      </c>
    </row>
    <row r="100" spans="1:16" x14ac:dyDescent="0.25">
      <c r="A100" s="14" t="s">
        <v>105</v>
      </c>
      <c r="B100" t="s">
        <v>99</v>
      </c>
      <c r="C100" s="8">
        <v>1525</v>
      </c>
      <c r="D100" t="s">
        <v>99</v>
      </c>
      <c r="E100" s="8">
        <v>1301</v>
      </c>
      <c r="F100" t="s">
        <v>99</v>
      </c>
      <c r="G100" t="str">
        <f t="shared" si="11"/>
        <v>\textcolor{OliveGreen}{</v>
      </c>
      <c r="H100" s="9">
        <f t="shared" si="12"/>
        <v>-0.14688524590163934</v>
      </c>
      <c r="P100" t="s">
        <v>102</v>
      </c>
    </row>
    <row r="101" spans="1:16" x14ac:dyDescent="0.25">
      <c r="A101" t="s">
        <v>106</v>
      </c>
      <c r="B101" t="s">
        <v>99</v>
      </c>
      <c r="C101" s="8">
        <f>Cycle_estimation!B27</f>
        <v>5836</v>
      </c>
      <c r="D101" t="s">
        <v>99</v>
      </c>
      <c r="E101" s="8">
        <f>Cycle_estimation_with_XEf!B27</f>
        <v>4509</v>
      </c>
      <c r="F101" t="s">
        <v>99</v>
      </c>
      <c r="G101" t="str">
        <f t="shared" si="11"/>
        <v>\textcolor{OliveGreen}{</v>
      </c>
      <c r="H101" s="9">
        <f t="shared" si="12"/>
        <v>-0.22738176833447568</v>
      </c>
      <c r="P101" t="str">
        <f>P96</f>
        <v>}\\</v>
      </c>
    </row>
    <row r="102" spans="1:16" x14ac:dyDescent="0.25">
      <c r="A102" t="s">
        <v>107</v>
      </c>
      <c r="B102" t="s">
        <v>99</v>
      </c>
      <c r="C102" s="8">
        <f>Cycle_estimation!C27</f>
        <v>7999</v>
      </c>
      <c r="D102" t="s">
        <v>99</v>
      </c>
      <c r="E102" s="8">
        <f>Cycle_estimation_with_XEf!C27</f>
        <v>6301</v>
      </c>
      <c r="F102" t="s">
        <v>99</v>
      </c>
      <c r="G102" t="str">
        <f t="shared" si="11"/>
        <v>\textcolor{OliveGreen}{</v>
      </c>
      <c r="H102" s="9">
        <f t="shared" si="12"/>
        <v>-0.21227653456682086</v>
      </c>
      <c r="P102" t="str">
        <f>P101</f>
        <v>}\\</v>
      </c>
    </row>
    <row r="103" spans="1:16" x14ac:dyDescent="0.25">
      <c r="A103" t="s">
        <v>118</v>
      </c>
      <c r="B103" t="s">
        <v>99</v>
      </c>
      <c r="C103" s="8">
        <v>99315</v>
      </c>
      <c r="D103" t="s">
        <v>99</v>
      </c>
      <c r="E103" s="15"/>
      <c r="F103" t="s">
        <v>99</v>
      </c>
      <c r="G103" t="str">
        <f t="shared" si="11"/>
        <v>\textcolor{OliveGreen}{</v>
      </c>
      <c r="H103" s="9">
        <f t="shared" si="12"/>
        <v>-1</v>
      </c>
      <c r="P103" t="str">
        <f>P102</f>
        <v>}\\</v>
      </c>
    </row>
    <row r="104" spans="1:16" x14ac:dyDescent="0.25">
      <c r="A104" t="s">
        <v>119</v>
      </c>
      <c r="B104" t="s">
        <v>99</v>
      </c>
      <c r="C104" s="8">
        <v>17676</v>
      </c>
      <c r="D104" t="s">
        <v>99</v>
      </c>
      <c r="E104" s="15"/>
      <c r="F104" t="s">
        <v>99</v>
      </c>
      <c r="G104" t="str">
        <f t="shared" si="11"/>
        <v>\textcolor{OliveGreen}{</v>
      </c>
      <c r="H104" s="9">
        <f t="shared" si="12"/>
        <v>-1</v>
      </c>
      <c r="P104" t="str">
        <f>P103</f>
        <v>}\\</v>
      </c>
    </row>
    <row r="105" spans="1:16" x14ac:dyDescent="0.25">
      <c r="A105" t="s">
        <v>120</v>
      </c>
      <c r="B105" t="s">
        <v>99</v>
      </c>
      <c r="C105" s="8">
        <v>2</v>
      </c>
      <c r="D105" t="s">
        <v>99</v>
      </c>
      <c r="E105" s="15"/>
      <c r="F105" t="s">
        <v>99</v>
      </c>
      <c r="G105" t="str">
        <f t="shared" si="11"/>
        <v>\textcolor{OliveGreen}{</v>
      </c>
      <c r="H105" s="9">
        <f t="shared" si="12"/>
        <v>-1</v>
      </c>
      <c r="P105" t="str">
        <f>P104</f>
        <v>}\\</v>
      </c>
    </row>
    <row r="106" spans="1:16" x14ac:dyDescent="0.25">
      <c r="A106" t="s">
        <v>121</v>
      </c>
      <c r="B106" t="s">
        <v>99</v>
      </c>
      <c r="C106" s="8">
        <v>240</v>
      </c>
      <c r="D106" t="s">
        <v>99</v>
      </c>
      <c r="E106" s="15"/>
      <c r="F106" t="s">
        <v>99</v>
      </c>
      <c r="G106" t="str">
        <f>IF(H106&gt;0,"\textcolor{OliveGreen}{+","\textcolor{red}{")</f>
        <v>\textcolor{red}{</v>
      </c>
      <c r="H106" s="9">
        <f t="shared" si="12"/>
        <v>-1</v>
      </c>
      <c r="P106" t="str">
        <f>P105</f>
        <v>}\\</v>
      </c>
    </row>
    <row r="107" spans="1:16" x14ac:dyDescent="0.25">
      <c r="A107" t="s">
        <v>112</v>
      </c>
      <c r="B107" t="s">
        <v>99</v>
      </c>
      <c r="C107" s="16">
        <f>C101/C$106</f>
        <v>24.316666666666666</v>
      </c>
      <c r="D107" t="s">
        <v>99</v>
      </c>
      <c r="E107" s="17">
        <v>1</v>
      </c>
      <c r="F107" t="s">
        <v>99</v>
      </c>
      <c r="G107" t="str">
        <f>IF(H107&gt;0,"\textcolor{red}{+","\textcolor{OliveGreen}{")</f>
        <v>\textcolor{OliveGreen}{</v>
      </c>
      <c r="H107" s="9">
        <f t="shared" si="12"/>
        <v>-0.95887594242631935</v>
      </c>
      <c r="P107" t="str">
        <f>P104</f>
        <v>}\\</v>
      </c>
    </row>
    <row r="108" spans="1:16" x14ac:dyDescent="0.25">
      <c r="A108" t="s">
        <v>113</v>
      </c>
      <c r="B108" t="s">
        <v>99</v>
      </c>
      <c r="C108" s="16">
        <f>C102/C$106</f>
        <v>33.329166666666666</v>
      </c>
      <c r="D108" t="s">
        <v>99</v>
      </c>
      <c r="E108" s="17">
        <v>1</v>
      </c>
      <c r="F108" t="s">
        <v>99</v>
      </c>
      <c r="G108" t="str">
        <f>IF(H108&gt;0,"\textcolor{red}{+","\textcolor{OliveGreen}{")</f>
        <v>\textcolor{OliveGreen}{</v>
      </c>
      <c r="H108" s="9">
        <f t="shared" si="12"/>
        <v>-0.96999624953119135</v>
      </c>
      <c r="P108" t="str">
        <f>P107</f>
        <v>}\\</v>
      </c>
    </row>
    <row r="109" spans="1:16" x14ac:dyDescent="0.25">
      <c r="A109" t="s">
        <v>114</v>
      </c>
      <c r="B109" t="s">
        <v>99</v>
      </c>
      <c r="C109" s="8">
        <f>Results!B21</f>
        <v>69727</v>
      </c>
      <c r="D109" t="s">
        <v>99</v>
      </c>
      <c r="E109" s="8">
        <f>Results!B29</f>
        <v>50373</v>
      </c>
      <c r="F109" t="s">
        <v>99</v>
      </c>
      <c r="G109" t="str">
        <f>IF(H109&gt;0,"\textcolor{red}{+","\textcolor{OliveGreen}{")</f>
        <v>\textcolor{OliveGreen}{</v>
      </c>
      <c r="H109" s="9">
        <f t="shared" si="12"/>
        <v>-0.27756823038421269</v>
      </c>
      <c r="P109" t="str">
        <f>P108</f>
        <v>}\\</v>
      </c>
    </row>
    <row r="110" spans="1:16" x14ac:dyDescent="0.25">
      <c r="A110" t="s">
        <v>115</v>
      </c>
      <c r="B110" t="s">
        <v>99</v>
      </c>
      <c r="C110" s="8">
        <f>Results!E21</f>
        <v>157660</v>
      </c>
      <c r="D110" t="s">
        <v>99</v>
      </c>
      <c r="E110" s="8">
        <f>Results!E29</f>
        <v>112311</v>
      </c>
      <c r="F110" t="s">
        <v>99</v>
      </c>
      <c r="G110" t="str">
        <f>IF(H110&gt;0,"\textcolor{red}{+","\textcolor{OliveGreen}{")</f>
        <v>\textcolor{OliveGreen}{</v>
      </c>
      <c r="H110" s="9">
        <f t="shared" si="12"/>
        <v>-0.28763795509323864</v>
      </c>
      <c r="P110" t="str">
        <f>P109</f>
        <v>}\\</v>
      </c>
    </row>
    <row r="111" spans="1:16" x14ac:dyDescent="0.25">
      <c r="A111" t="s">
        <v>116</v>
      </c>
      <c r="B111" t="s">
        <v>99</v>
      </c>
      <c r="C111" s="8">
        <f>Results!D21</f>
        <v>6</v>
      </c>
      <c r="D111" t="s">
        <v>99</v>
      </c>
      <c r="E111" s="8">
        <f>Results!D29</f>
        <v>6</v>
      </c>
      <c r="F111" t="s">
        <v>99</v>
      </c>
      <c r="G111" t="str">
        <f>IF(H111&gt;0,"\textcolor{red}{+","\textcolor{OliveGreen}{")</f>
        <v>\textcolor{OliveGreen}{</v>
      </c>
      <c r="H111" s="9">
        <f t="shared" si="12"/>
        <v>0</v>
      </c>
      <c r="P111" t="str">
        <f>P110</f>
        <v>}\\</v>
      </c>
    </row>
    <row r="112" spans="1:16" x14ac:dyDescent="0.25">
      <c r="A112" t="s">
        <v>117</v>
      </c>
      <c r="B112" t="s">
        <v>99</v>
      </c>
      <c r="C112" s="8">
        <f>Results!F21</f>
        <v>187.55</v>
      </c>
      <c r="D112" t="s">
        <v>99</v>
      </c>
      <c r="E112" s="8">
        <f>Results!F29</f>
        <v>197.23</v>
      </c>
      <c r="F112" t="s">
        <v>99</v>
      </c>
      <c r="G112" t="str">
        <f>IF(H112&gt;0,"\textcolor{OliveGreen}{+","\textcolor{red}{")</f>
        <v>\textcolor{OliveGreen}{+</v>
      </c>
      <c r="H112" s="9">
        <f t="shared" si="12"/>
        <v>5.1612903225806334E-2</v>
      </c>
      <c r="P112" t="str">
        <f>P111</f>
        <v>}\\</v>
      </c>
    </row>
    <row r="113" spans="1:16" x14ac:dyDescent="0.25">
      <c r="A113" t="s">
        <v>112</v>
      </c>
      <c r="B113" t="s">
        <v>99</v>
      </c>
      <c r="C113" s="16">
        <f>C101/(C$112)</f>
        <v>31.117035457211408</v>
      </c>
      <c r="D113" t="s">
        <v>99</v>
      </c>
      <c r="E113" s="16">
        <f>E101/E$112</f>
        <v>22.86163362571617</v>
      </c>
      <c r="F113" t="s">
        <v>99</v>
      </c>
      <c r="G113" t="str">
        <f>IF(H113&gt;0,"\textcolor{red}{+","\textcolor{OliveGreen}{")</f>
        <v>\textcolor{OliveGreen}{</v>
      </c>
      <c r="H113" s="9">
        <f t="shared" si="12"/>
        <v>-0.26530168154505346</v>
      </c>
      <c r="P113" t="str">
        <f>P110</f>
        <v>}\\</v>
      </c>
    </row>
    <row r="114" spans="1:16" x14ac:dyDescent="0.25">
      <c r="A114" t="s">
        <v>113</v>
      </c>
      <c r="B114" t="s">
        <v>99</v>
      </c>
      <c r="C114" s="16">
        <f>C102/(C$112)</f>
        <v>42.649960010663818</v>
      </c>
      <c r="D114" t="s">
        <v>99</v>
      </c>
      <c r="E114" s="16">
        <f>E102/E$112</f>
        <v>31.94747249404249</v>
      </c>
      <c r="F114" t="s">
        <v>99</v>
      </c>
      <c r="G114" t="str">
        <f>IF(H114&gt;0,"\textcolor{red}{+","\textcolor{OliveGreen}{")</f>
        <v>\textcolor{OliveGreen}{</v>
      </c>
      <c r="H114" s="9">
        <f t="shared" si="12"/>
        <v>-0.25093780894390927</v>
      </c>
      <c r="P114" t="str">
        <f>P113</f>
        <v>}\\</v>
      </c>
    </row>
  </sheetData>
  <hyperlinks>
    <hyperlink ref="O1" r:id="rId1"/>
    <hyperlink ref="O39" r:id="rId2"/>
    <hyperlink ref="O20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4" zoomScale="120" zoomScaleNormal="120" workbookViewId="0"/>
  </sheetViews>
  <sheetFormatPr defaultRowHeight="15" x14ac:dyDescent="0.25"/>
  <cols>
    <col min="1" max="1" width="15.7109375" customWidth="1"/>
    <col min="2" max="2" width="8.5703125" customWidth="1"/>
    <col min="3" max="3" width="11.5703125" style="8"/>
    <col min="4" max="4" width="8.5703125" customWidth="1"/>
    <col min="5" max="5" width="11.5703125" style="8"/>
    <col min="6" max="6" width="8.5703125" customWidth="1"/>
    <col min="7" max="7" width="16" customWidth="1"/>
    <col min="8" max="8" width="11.5703125" style="18"/>
    <col min="9" max="1025" width="8.5703125" customWidth="1"/>
  </cols>
  <sheetData>
    <row r="1" spans="1:10" s="13" customFormat="1" x14ac:dyDescent="0.25">
      <c r="A1" s="13" t="str">
        <f>Tex_table_comparison!A1</f>
        <v>Parameter set</v>
      </c>
      <c r="B1" s="13" t="str">
        <f>Tex_table_comparison!B1</f>
        <v>&amp;</v>
      </c>
      <c r="C1" s="11" t="str">
        <f>Tex_table_comparison!C1</f>
        <v>1KEM_0d</v>
      </c>
      <c r="D1" s="13" t="str">
        <f>Tex_table_comparison!D1</f>
        <v>&amp;</v>
      </c>
      <c r="E1" s="11" t="str">
        <f>Tex_table_comparison!E1</f>
        <v>1KEM_5d</v>
      </c>
      <c r="F1" s="13" t="str">
        <f>Tex_table_comparison!F1</f>
        <v>&amp;</v>
      </c>
      <c r="H1" s="19" t="str">
        <f>Tex_table_comparison!H1</f>
        <v>Ratio</v>
      </c>
    </row>
    <row r="2" spans="1:10" x14ac:dyDescent="0.25">
      <c r="A2" t="str">
        <f>Tex_table_comparison!A2</f>
        <v>Poly degree*</v>
      </c>
      <c r="B2" t="str">
        <f>Tex_table_comparison!B2</f>
        <v>&amp;</v>
      </c>
      <c r="C2" s="8">
        <f>Tex_table_comparison!C2</f>
        <v>618</v>
      </c>
      <c r="D2" t="str">
        <f>Tex_table_comparison!D2</f>
        <v>&amp;</v>
      </c>
      <c r="E2" s="8">
        <f>Tex_table_comparison!E2</f>
        <v>490</v>
      </c>
      <c r="F2" t="str">
        <f>Tex_table_comparison!F2</f>
        <v>&amp;</v>
      </c>
      <c r="G2" t="str">
        <f>Tex_table_comparison!G2</f>
        <v>\textcolor{OliveGreen}{</v>
      </c>
      <c r="H2" s="18">
        <f>Tex_table_comparison!H2</f>
        <v>-0.20711974110032363</v>
      </c>
      <c r="I2" t="str">
        <f>Tex_table_comparison!I2</f>
        <v>}\\</v>
      </c>
    </row>
    <row r="3" spans="1:10" x14ac:dyDescent="0.25">
      <c r="A3" t="str">
        <f>Tex_table_comparison!A3</f>
        <v>PK size$^*$</v>
      </c>
      <c r="B3" t="str">
        <f>Tex_table_comparison!B3</f>
        <v>&amp;</v>
      </c>
      <c r="C3" s="8">
        <f>Tex_table_comparison!C3</f>
        <v>634</v>
      </c>
      <c r="D3" t="str">
        <f>Tex_table_comparison!D3</f>
        <v>&amp;</v>
      </c>
      <c r="E3" s="8">
        <f>Tex_table_comparison!E3</f>
        <v>445</v>
      </c>
      <c r="F3" t="str">
        <f>Tex_table_comparison!F3</f>
        <v>&amp;</v>
      </c>
      <c r="G3" t="str">
        <f>Tex_table_comparison!G3</f>
        <v>\textcolor{OliveGreen}{</v>
      </c>
      <c r="H3" s="18">
        <f>Tex_table_comparison!H3</f>
        <v>-0.29810725552050471</v>
      </c>
      <c r="I3" t="str">
        <f>Tex_table_comparison!I3</f>
        <v>}\\</v>
      </c>
    </row>
    <row r="4" spans="1:10" x14ac:dyDescent="0.25">
      <c r="A4" t="str">
        <f>Tex_table_comparison!A4</f>
        <v>SK size$^*$</v>
      </c>
      <c r="B4" t="str">
        <f>Tex_table_comparison!B4</f>
        <v>&amp;</v>
      </c>
      <c r="C4" s="8">
        <f>Tex_table_comparison!C4</f>
        <v>16</v>
      </c>
      <c r="D4" t="str">
        <f>Tex_table_comparison!D4</f>
        <v>&amp;</v>
      </c>
      <c r="E4" s="8">
        <f>Tex_table_comparison!E4</f>
        <v>16</v>
      </c>
      <c r="F4" t="str">
        <f>Tex_table_comparison!F4</f>
        <v>&amp;</v>
      </c>
      <c r="G4" t="str">
        <f>Tex_table_comparison!G4</f>
        <v>\textcolor{OliveGreen}{</v>
      </c>
      <c r="H4" s="18">
        <f>Tex_table_comparison!H4</f>
        <v>0</v>
      </c>
      <c r="I4" t="str">
        <f>Tex_table_comparison!I4</f>
        <v>}\\</v>
      </c>
    </row>
    <row r="5" spans="1:10" x14ac:dyDescent="0.25">
      <c r="A5" t="str">
        <f>Tex_table_comparison!A5</f>
        <v>CT size$^*$</v>
      </c>
      <c r="B5" t="str">
        <f>Tex_table_comparison!B5</f>
        <v>&amp;</v>
      </c>
      <c r="C5" s="8">
        <f>Tex_table_comparison!C5</f>
        <v>682</v>
      </c>
      <c r="D5" t="str">
        <f>Tex_table_comparison!D5</f>
        <v>&amp;</v>
      </c>
      <c r="E5" s="8">
        <f>Tex_table_comparison!E5</f>
        <v>549</v>
      </c>
      <c r="F5" t="str">
        <f>Tex_table_comparison!F5</f>
        <v>&amp;</v>
      </c>
      <c r="G5" t="str">
        <f>Tex_table_comparison!G5</f>
        <v>\textcolor{OliveGreen}{</v>
      </c>
      <c r="H5" s="18">
        <f>Tex_table_comparison!H5</f>
        <v>-0.19501466275659823</v>
      </c>
      <c r="I5" t="str">
        <f>Tex_table_comparison!I5</f>
        <v>}\\</v>
      </c>
    </row>
    <row r="6" spans="1:10" x14ac:dyDescent="0.25">
      <c r="A6" t="str">
        <f>Tex_table_comparison!A6</f>
        <v>Enc latency$^{**}$</v>
      </c>
      <c r="B6" t="str">
        <f>Tex_table_comparison!B6</f>
        <v>&amp;</v>
      </c>
      <c r="C6" s="8">
        <f>Tex_table_comparison!C6</f>
        <v>2985</v>
      </c>
      <c r="D6" t="str">
        <f>Tex_table_comparison!D6</f>
        <v>&amp;</v>
      </c>
      <c r="E6" s="8">
        <f>Tex_table_comparison!E6</f>
        <v>2219</v>
      </c>
      <c r="F6" t="str">
        <f>Tex_table_comparison!F6</f>
        <v>&amp;</v>
      </c>
      <c r="G6" t="str">
        <f>Tex_table_comparison!G6</f>
        <v>\textcolor{OliveGreen}{</v>
      </c>
      <c r="H6" s="18">
        <f>Tex_table_comparison!H6</f>
        <v>-0.25661641541038527</v>
      </c>
      <c r="I6" t="str">
        <f>Tex_table_comparison!I6</f>
        <v>}\\</v>
      </c>
    </row>
    <row r="7" spans="1:10" x14ac:dyDescent="0.25">
      <c r="A7" t="str">
        <f>Tex_table_comparison!A7</f>
        <v>Dec latency$^{**}$</v>
      </c>
      <c r="B7" t="str">
        <f>Tex_table_comparison!B7</f>
        <v>&amp;</v>
      </c>
      <c r="C7" s="8">
        <f>Tex_table_comparison!C7</f>
        <v>1480</v>
      </c>
      <c r="D7" t="str">
        <f>Tex_table_comparison!D7</f>
        <v>&amp;</v>
      </c>
      <c r="E7" s="8">
        <f>Tex_table_comparison!E7</f>
        <v>1200</v>
      </c>
      <c r="F7" t="str">
        <f>Tex_table_comparison!F7</f>
        <v>&amp;</v>
      </c>
      <c r="G7" t="str">
        <f>Tex_table_comparison!G7</f>
        <v>\textcolor{OliveGreen}{</v>
      </c>
      <c r="H7" s="18">
        <f>Tex_table_comparison!H7</f>
        <v>-0.1891891891891892</v>
      </c>
      <c r="I7" t="str">
        <f>Tex_table_comparison!I7</f>
        <v>}\\</v>
      </c>
      <c r="J7" t="s">
        <v>122</v>
      </c>
    </row>
    <row r="8" spans="1:10" x14ac:dyDescent="0.25">
      <c r="A8" t="str">
        <f>Tex_table_comparison!A14</f>
        <v>Intel ALM’s</v>
      </c>
      <c r="B8" t="str">
        <f>Tex_table_comparison!B14</f>
        <v>&amp;</v>
      </c>
      <c r="C8" s="8">
        <f>Tex_table_comparison!C14</f>
        <v>33036</v>
      </c>
      <c r="D8" t="str">
        <f>Tex_table_comparison!D14</f>
        <v>&amp;</v>
      </c>
      <c r="E8" s="8">
        <f>Tex_table_comparison!E14</f>
        <v>24192</v>
      </c>
      <c r="F8" t="str">
        <f>Tex_table_comparison!F14</f>
        <v>&amp;</v>
      </c>
      <c r="G8" t="str">
        <f>Tex_table_comparison!G14</f>
        <v>\textcolor{OliveGreen}{</v>
      </c>
      <c r="H8" s="18">
        <f>Tex_table_comparison!H14</f>
        <v>-0.26770795495822741</v>
      </c>
      <c r="I8" t="str">
        <f>Tex_table_comparison!I14</f>
        <v>}\\</v>
      </c>
    </row>
    <row r="9" spans="1:10" x14ac:dyDescent="0.25">
      <c r="A9" t="str">
        <f>Tex_table_comparison!A15</f>
        <v>Intel Registers</v>
      </c>
      <c r="B9" t="str">
        <f>Tex_table_comparison!B15</f>
        <v>&amp;</v>
      </c>
      <c r="C9" s="8">
        <f>Tex_table_comparison!C15</f>
        <v>74321</v>
      </c>
      <c r="D9" t="str">
        <f>Tex_table_comparison!D15</f>
        <v>&amp;</v>
      </c>
      <c r="E9" s="8">
        <f>Tex_table_comparison!E15</f>
        <v>54985</v>
      </c>
      <c r="F9" t="str">
        <f>Tex_table_comparison!F15</f>
        <v>&amp;</v>
      </c>
      <c r="G9" t="str">
        <f>Tex_table_comparison!G15</f>
        <v>\textcolor{OliveGreen}{</v>
      </c>
      <c r="H9" s="18">
        <f>Tex_table_comparison!H15</f>
        <v>-0.26016872754672299</v>
      </c>
      <c r="I9" t="str">
        <f>Tex_table_comparison!I15</f>
        <v>}\\</v>
      </c>
    </row>
    <row r="10" spans="1:10" x14ac:dyDescent="0.25">
      <c r="A10" t="str">
        <f>Tex_table_comparison!A16</f>
        <v>Intel BRAM’s</v>
      </c>
      <c r="B10" t="str">
        <f>Tex_table_comparison!B16</f>
        <v>&amp;</v>
      </c>
      <c r="C10" s="8">
        <f>Tex_table_comparison!C16</f>
        <v>4</v>
      </c>
      <c r="D10" t="str">
        <f>Tex_table_comparison!D16</f>
        <v>&amp;</v>
      </c>
      <c r="E10" s="8">
        <f>Tex_table_comparison!E16</f>
        <v>4</v>
      </c>
      <c r="F10" t="str">
        <f>Tex_table_comparison!F16</f>
        <v>&amp;</v>
      </c>
      <c r="G10" t="str">
        <f>Tex_table_comparison!G16</f>
        <v>\textcolor{OliveGreen}{</v>
      </c>
      <c r="H10" s="18">
        <f>Tex_table_comparison!H16</f>
        <v>0</v>
      </c>
      <c r="I10" t="str">
        <f>Tex_table_comparison!I16</f>
        <v>}\\</v>
      </c>
    </row>
    <row r="11" spans="1:10" x14ac:dyDescent="0.25">
      <c r="A11" t="str">
        <f>Tex_table_comparison!A17</f>
        <v>Intel Max. freq (MHz)</v>
      </c>
      <c r="B11" t="str">
        <f>Tex_table_comparison!B17</f>
        <v>&amp;</v>
      </c>
      <c r="C11" s="8">
        <f>Tex_table_comparison!C17</f>
        <v>192.42</v>
      </c>
      <c r="D11" t="str">
        <f>Tex_table_comparison!D17</f>
        <v>&amp;</v>
      </c>
      <c r="E11" s="8">
        <f>Tex_table_comparison!E17</f>
        <v>219.88</v>
      </c>
      <c r="F11" t="str">
        <f>Tex_table_comparison!F17</f>
        <v>&amp;</v>
      </c>
      <c r="G11" t="str">
        <f>Tex_table_comparison!G17</f>
        <v>\textcolor{OliveGreen}{+</v>
      </c>
      <c r="H11" s="18">
        <f>Tex_table_comparison!H17</f>
        <v>0.14270865814364417</v>
      </c>
      <c r="I11" t="str">
        <f>Tex_table_comparison!I17</f>
        <v>}\\</v>
      </c>
    </row>
    <row r="12" spans="1:10" x14ac:dyDescent="0.25">
      <c r="A12" t="str">
        <f>Tex_table_comparison!A18</f>
        <v>Enc time</v>
      </c>
      <c r="B12" t="str">
        <f>Tex_table_comparison!B18</f>
        <v>&amp;</v>
      </c>
      <c r="C12" s="9">
        <f>Tex_table_comparison!C18</f>
        <v>15.512940442781417</v>
      </c>
      <c r="D12" s="20" t="str">
        <f>Tex_table_comparison!D18</f>
        <v>&amp;</v>
      </c>
      <c r="E12" s="9">
        <f>Tex_table_comparison!E18</f>
        <v>10.091868291795524</v>
      </c>
      <c r="F12" t="str">
        <f>Tex_table_comparison!F18</f>
        <v>&amp;</v>
      </c>
      <c r="G12" t="str">
        <f>Tex_table_comparison!G18</f>
        <v>\textcolor{OliveGreen}{</v>
      </c>
      <c r="H12" s="18">
        <f>Tex_table_comparison!H18</f>
        <v>-0.34945484197410565</v>
      </c>
      <c r="I12" t="str">
        <f>Tex_table_comparison!I18</f>
        <v>}\\</v>
      </c>
    </row>
    <row r="13" spans="1:10" x14ac:dyDescent="0.25">
      <c r="A13" t="str">
        <f>Tex_table_comparison!A19</f>
        <v>Dec time</v>
      </c>
      <c r="B13" t="str">
        <f>Tex_table_comparison!B19</f>
        <v>&amp;</v>
      </c>
      <c r="C13" s="9">
        <f>Tex_table_comparison!C19</f>
        <v>7.6915081592350072</v>
      </c>
      <c r="D13" s="20" t="str">
        <f>Tex_table_comparison!D19</f>
        <v>&amp;</v>
      </c>
      <c r="E13" s="9">
        <f>Tex_table_comparison!E19</f>
        <v>5.4575222848826632</v>
      </c>
      <c r="F13" t="str">
        <f>Tex_table_comparison!F19</f>
        <v>&amp;</v>
      </c>
      <c r="G13" t="str">
        <f>Tex_table_comparison!G19</f>
        <v>\textcolor{OliveGreen}{</v>
      </c>
      <c r="H13" s="18">
        <f>Tex_table_comparison!H19</f>
        <v>-0.29044835266410673</v>
      </c>
      <c r="I13" t="str">
        <f>Tex_table_comparison!I19</f>
        <v>}\\</v>
      </c>
    </row>
    <row r="14" spans="1:10" s="13" customFormat="1" x14ac:dyDescent="0.25">
      <c r="A14" s="13" t="str">
        <f>Tex_table_comparison!A20</f>
        <v>Parameter set</v>
      </c>
      <c r="B14" s="13" t="str">
        <f>Tex_table_comparison!B20</f>
        <v>&amp;</v>
      </c>
      <c r="C14" s="11" t="str">
        <f>Tex_table_comparison!C20</f>
        <v>3KEM_0d</v>
      </c>
      <c r="D14" s="13" t="str">
        <f>Tex_table_comparison!D20</f>
        <v>&amp;</v>
      </c>
      <c r="E14" s="11" t="str">
        <f>Tex_table_comparison!E20</f>
        <v>3KEM_5d</v>
      </c>
      <c r="F14" s="13" t="str">
        <f>Tex_table_comparison!F20</f>
        <v>&amp;</v>
      </c>
      <c r="H14" s="19" t="str">
        <f>Tex_table_comparison!H20</f>
        <v>Ratio</v>
      </c>
    </row>
    <row r="15" spans="1:10" x14ac:dyDescent="0.25">
      <c r="A15" t="str">
        <f>Tex_table_comparison!A21</f>
        <v>Poly degree*</v>
      </c>
      <c r="B15" t="str">
        <f>Tex_table_comparison!B21</f>
        <v>&amp;</v>
      </c>
      <c r="C15" s="8">
        <f>Tex_table_comparison!C21</f>
        <v>786</v>
      </c>
      <c r="D15" t="str">
        <f>Tex_table_comparison!D21</f>
        <v>&amp;</v>
      </c>
      <c r="E15" s="8">
        <f>Tex_table_comparison!E21</f>
        <v>756</v>
      </c>
      <c r="F15" t="str">
        <f>Tex_table_comparison!F21</f>
        <v>&amp;</v>
      </c>
      <c r="G15" t="str">
        <f>Tex_table_comparison!G21</f>
        <v>\textcolor{OliveGreen}{</v>
      </c>
      <c r="H15" s="18">
        <f>Tex_table_comparison!H21</f>
        <v>-3.8167938931297711E-2</v>
      </c>
      <c r="I15" t="str">
        <f>Tex_table_comparison!I21</f>
        <v>}\\</v>
      </c>
    </row>
    <row r="16" spans="1:10" x14ac:dyDescent="0.25">
      <c r="A16" t="str">
        <f>Tex_table_comparison!A22</f>
        <v>PK size$^*$</v>
      </c>
      <c r="B16" t="str">
        <f>Tex_table_comparison!B22</f>
        <v>&amp;</v>
      </c>
      <c r="C16" s="8">
        <f>Tex_table_comparison!C22</f>
        <v>909</v>
      </c>
      <c r="D16" t="str">
        <f>Tex_table_comparison!D22</f>
        <v>&amp;</v>
      </c>
      <c r="E16" s="8">
        <f>Tex_table_comparison!E22</f>
        <v>780</v>
      </c>
      <c r="F16" t="str">
        <f>Tex_table_comparison!F22</f>
        <v>&amp;</v>
      </c>
      <c r="G16" t="str">
        <f>Tex_table_comparison!G22</f>
        <v>\textcolor{OliveGreen}{</v>
      </c>
      <c r="H16" s="18">
        <f>Tex_table_comparison!H22</f>
        <v>-0.14191419141914191</v>
      </c>
      <c r="I16" t="str">
        <f>Tex_table_comparison!I22</f>
        <v>}\\</v>
      </c>
    </row>
    <row r="17" spans="1:10" x14ac:dyDescent="0.25">
      <c r="A17" t="str">
        <f>Tex_table_comparison!A23</f>
        <v>SK size$^*$</v>
      </c>
      <c r="B17" t="str">
        <f>Tex_table_comparison!B23</f>
        <v>&amp;</v>
      </c>
      <c r="C17" s="8">
        <f>Tex_table_comparison!C23</f>
        <v>24</v>
      </c>
      <c r="D17" t="str">
        <f>Tex_table_comparison!D23</f>
        <v>&amp;</v>
      </c>
      <c r="E17" s="8">
        <f>Tex_table_comparison!E23</f>
        <v>24</v>
      </c>
      <c r="F17" t="str">
        <f>Tex_table_comparison!F23</f>
        <v>&amp;</v>
      </c>
      <c r="G17" t="str">
        <f>Tex_table_comparison!G23</f>
        <v>\textcolor{OliveGreen}{</v>
      </c>
      <c r="H17" s="18">
        <f>Tex_table_comparison!H23</f>
        <v>0</v>
      </c>
      <c r="I17" t="str">
        <f>Tex_table_comparison!I23</f>
        <v>}\\</v>
      </c>
    </row>
    <row r="18" spans="1:10" x14ac:dyDescent="0.25">
      <c r="A18" t="str">
        <f>Tex_table_comparison!A24</f>
        <v>CT size$^*$</v>
      </c>
      <c r="B18" t="str">
        <f>Tex_table_comparison!B24</f>
        <v>&amp;</v>
      </c>
      <c r="C18" s="8">
        <f>Tex_table_comparison!C24</f>
        <v>981</v>
      </c>
      <c r="D18" t="str">
        <f>Tex_table_comparison!D24</f>
        <v>&amp;</v>
      </c>
      <c r="E18" s="8">
        <f>Tex_table_comparison!E24</f>
        <v>859</v>
      </c>
      <c r="F18" t="str">
        <f>Tex_table_comparison!F24</f>
        <v>&amp;</v>
      </c>
      <c r="G18" t="str">
        <f>Tex_table_comparison!G24</f>
        <v>\textcolor{OliveGreen}{</v>
      </c>
      <c r="H18" s="18">
        <f>Tex_table_comparison!H24</f>
        <v>-0.12436289500509684</v>
      </c>
      <c r="I18" t="str">
        <f>Tex_table_comparison!I24</f>
        <v>}\\</v>
      </c>
    </row>
    <row r="19" spans="1:10" x14ac:dyDescent="0.25">
      <c r="A19" t="str">
        <f>Tex_table_comparison!A25</f>
        <v>Enc latency$^{**}$</v>
      </c>
      <c r="B19" t="str">
        <f>Tex_table_comparison!B25</f>
        <v>&amp;</v>
      </c>
      <c r="C19" s="8">
        <f>Tex_table_comparison!C25</f>
        <v>3862</v>
      </c>
      <c r="D19" t="str">
        <f>Tex_table_comparison!D25</f>
        <v>&amp;</v>
      </c>
      <c r="E19" s="8">
        <f>Tex_table_comparison!E25</f>
        <v>3453</v>
      </c>
      <c r="F19" t="str">
        <f>Tex_table_comparison!F25</f>
        <v>&amp;</v>
      </c>
      <c r="G19" t="str">
        <f>Tex_table_comparison!G25</f>
        <v>\textcolor{OliveGreen}{</v>
      </c>
      <c r="H19" s="18">
        <f>Tex_table_comparison!H25</f>
        <v>-0.10590367685137235</v>
      </c>
      <c r="I19" t="str">
        <f>Tex_table_comparison!I25</f>
        <v>}\\</v>
      </c>
    </row>
    <row r="20" spans="1:10" x14ac:dyDescent="0.25">
      <c r="A20" t="str">
        <f>Tex_table_comparison!A26</f>
        <v>Dec latency$^{**}$</v>
      </c>
      <c r="B20" t="str">
        <f>Tex_table_comparison!B26</f>
        <v>&amp;</v>
      </c>
      <c r="C20" s="8">
        <f>Tex_table_comparison!C26</f>
        <v>1901</v>
      </c>
      <c r="D20" t="str">
        <f>Tex_table_comparison!D26</f>
        <v>&amp;</v>
      </c>
      <c r="E20" s="8">
        <f>Tex_table_comparison!E26</f>
        <v>1831</v>
      </c>
      <c r="F20" t="str">
        <f>Tex_table_comparison!F26</f>
        <v>&amp;</v>
      </c>
      <c r="G20" t="str">
        <f>Tex_table_comparison!G26</f>
        <v>\textcolor{OliveGreen}{</v>
      </c>
      <c r="H20" s="18">
        <f>Tex_table_comparison!H26</f>
        <v>-3.682272488164124E-2</v>
      </c>
      <c r="I20" t="str">
        <f>Tex_table_comparison!I26</f>
        <v>}\\</v>
      </c>
      <c r="J20" t="s">
        <v>122</v>
      </c>
    </row>
    <row r="21" spans="1:10" x14ac:dyDescent="0.25">
      <c r="A21" t="str">
        <f>Tex_table_comparison!A33</f>
        <v>Intel ALM’s</v>
      </c>
      <c r="B21" t="str">
        <f>Tex_table_comparison!B33</f>
        <v>&amp;</v>
      </c>
      <c r="C21" s="8">
        <f>Tex_table_comparison!C33</f>
        <v>46466</v>
      </c>
      <c r="D21" t="str">
        <f>Tex_table_comparison!D33</f>
        <v>&amp;</v>
      </c>
      <c r="E21" s="8">
        <f>Tex_table_comparison!E33</f>
        <v>40885</v>
      </c>
      <c r="F21" t="str">
        <f>Tex_table_comparison!F33</f>
        <v>&amp;</v>
      </c>
      <c r="G21" t="str">
        <f>Tex_table_comparison!G33</f>
        <v>\textcolor{OliveGreen}{</v>
      </c>
      <c r="H21" s="18">
        <f>Tex_table_comparison!H33</f>
        <v>-0.12010932725003229</v>
      </c>
      <c r="I21" t="str">
        <f>Tex_table_comparison!I33</f>
        <v>}\\</v>
      </c>
    </row>
    <row r="22" spans="1:10" x14ac:dyDescent="0.25">
      <c r="A22" t="str">
        <f>Tex_table_comparison!A34</f>
        <v>Intel Registers</v>
      </c>
      <c r="B22" t="str">
        <f>Tex_table_comparison!B34</f>
        <v>&amp;</v>
      </c>
      <c r="C22" s="8">
        <f>Tex_table_comparison!C34</f>
        <v>107014</v>
      </c>
      <c r="D22" t="str">
        <f>Tex_table_comparison!D34</f>
        <v>&amp;</v>
      </c>
      <c r="E22" s="8">
        <f>Tex_table_comparison!E34</f>
        <v>97090</v>
      </c>
      <c r="F22" t="str">
        <f>Tex_table_comparison!F34</f>
        <v>&amp;</v>
      </c>
      <c r="G22" t="str">
        <f>Tex_table_comparison!G34</f>
        <v>\textcolor{OliveGreen}{</v>
      </c>
      <c r="H22" s="18">
        <f>Tex_table_comparison!H34</f>
        <v>-9.273552993066328E-2</v>
      </c>
      <c r="I22" t="str">
        <f>Tex_table_comparison!I34</f>
        <v>}\\</v>
      </c>
    </row>
    <row r="23" spans="1:10" x14ac:dyDescent="0.25">
      <c r="A23" t="str">
        <f>Tex_table_comparison!A35</f>
        <v>Intel BRAM’s</v>
      </c>
      <c r="B23" t="str">
        <f>Tex_table_comparison!B35</f>
        <v>&amp;</v>
      </c>
      <c r="C23" s="8">
        <f>Tex_table_comparison!C35</f>
        <v>4</v>
      </c>
      <c r="D23" t="str">
        <f>Tex_table_comparison!D35</f>
        <v>&amp;</v>
      </c>
      <c r="E23" s="8">
        <f>Tex_table_comparison!E35</f>
        <v>4</v>
      </c>
      <c r="F23" t="str">
        <f>Tex_table_comparison!F35</f>
        <v>&amp;</v>
      </c>
      <c r="G23" t="str">
        <f>Tex_table_comparison!G35</f>
        <v>\textcolor{OliveGreen}{</v>
      </c>
      <c r="H23" s="18">
        <f>Tex_table_comparison!H35</f>
        <v>0</v>
      </c>
      <c r="I23" t="str">
        <f>Tex_table_comparison!I35</f>
        <v>}\\</v>
      </c>
    </row>
    <row r="24" spans="1:10" x14ac:dyDescent="0.25">
      <c r="A24" t="str">
        <f>Tex_table_comparison!A36</f>
        <v>Intel Max. freq (MHz)</v>
      </c>
      <c r="B24" t="str">
        <f>Tex_table_comparison!B36</f>
        <v>&amp;</v>
      </c>
      <c r="C24" s="8">
        <f>Tex_table_comparison!C36</f>
        <v>177.34</v>
      </c>
      <c r="D24" t="str">
        <f>Tex_table_comparison!D36</f>
        <v>&amp;</v>
      </c>
      <c r="E24" s="8">
        <f>Tex_table_comparison!E36</f>
        <v>193.01</v>
      </c>
      <c r="F24" t="str">
        <f>Tex_table_comparison!F36</f>
        <v>&amp;</v>
      </c>
      <c r="G24" t="str">
        <f>Tex_table_comparison!G36</f>
        <v>\textcolor{OliveGreen}{+</v>
      </c>
      <c r="H24" s="18">
        <f>Tex_table_comparison!H36</f>
        <v>8.8361339799255589E-2</v>
      </c>
      <c r="I24" t="str">
        <f>Tex_table_comparison!I36</f>
        <v>}\\</v>
      </c>
    </row>
    <row r="25" spans="1:10" x14ac:dyDescent="0.25">
      <c r="A25" t="str">
        <f>Tex_table_comparison!A37</f>
        <v>Enc time</v>
      </c>
      <c r="B25" t="str">
        <f>Tex_table_comparison!B37</f>
        <v>&amp;</v>
      </c>
      <c r="C25" s="9">
        <f>Tex_table_comparison!C37</f>
        <v>21.777376790346228</v>
      </c>
      <c r="D25" s="20" t="str">
        <f>Tex_table_comparison!D37</f>
        <v>&amp;</v>
      </c>
      <c r="E25" s="9">
        <f>Tex_table_comparison!E37</f>
        <v>17.890264753121599</v>
      </c>
      <c r="F25" t="str">
        <f>Tex_table_comparison!F37</f>
        <v>&amp;</v>
      </c>
      <c r="G25" t="str">
        <f>Tex_table_comparison!G37</f>
        <v>\textcolor{OliveGreen}{</v>
      </c>
      <c r="H25" s="18">
        <f>Tex_table_comparison!H37</f>
        <v>-0.17849312498224124</v>
      </c>
      <c r="I25" t="str">
        <f>Tex_table_comparison!I37</f>
        <v>}\\</v>
      </c>
    </row>
    <row r="26" spans="1:10" x14ac:dyDescent="0.25">
      <c r="A26" t="str">
        <f>Tex_table_comparison!A38</f>
        <v>Dec time</v>
      </c>
      <c r="B26" t="str">
        <f>Tex_table_comparison!B38</f>
        <v>&amp;</v>
      </c>
      <c r="C26" s="9">
        <f>Tex_table_comparison!C38</f>
        <v>10.719521822487875</v>
      </c>
      <c r="D26" s="20" t="str">
        <f>Tex_table_comparison!D38</f>
        <v>&amp;</v>
      </c>
      <c r="E26" s="9">
        <f>Tex_table_comparison!E38</f>
        <v>9.4865551007719819</v>
      </c>
      <c r="F26" t="str">
        <f>Tex_table_comparison!F38</f>
        <v>&amp;</v>
      </c>
      <c r="G26" t="str">
        <f>Tex_table_comparison!G38</f>
        <v>\textcolor{OliveGreen}{</v>
      </c>
      <c r="H26" s="18">
        <f>Tex_table_comparison!H38</f>
        <v>-0.11502068302424859</v>
      </c>
      <c r="I26" t="str">
        <f>Tex_table_comparison!I38</f>
        <v>}\\</v>
      </c>
    </row>
    <row r="27" spans="1:10" s="13" customFormat="1" x14ac:dyDescent="0.25">
      <c r="A27" s="13" t="str">
        <f>Tex_table_comparison!A39</f>
        <v>Parameter set</v>
      </c>
      <c r="B27" s="13" t="str">
        <f>Tex_table_comparison!B39</f>
        <v>&amp;</v>
      </c>
      <c r="C27" s="11" t="str">
        <f>Tex_table_comparison!C39</f>
        <v>5KEM_0d</v>
      </c>
      <c r="D27" s="13" t="str">
        <f>Tex_table_comparison!D39</f>
        <v>&amp;</v>
      </c>
      <c r="E27" s="11" t="str">
        <f>Tex_table_comparison!E39</f>
        <v>5KEM_5d</v>
      </c>
      <c r="F27" s="13" t="str">
        <f>Tex_table_comparison!F39</f>
        <v>&amp;</v>
      </c>
      <c r="H27" s="19">
        <f>Tex_table_comparison!H39</f>
        <v>0</v>
      </c>
      <c r="I27" s="13" t="str">
        <f>Tex_table_comparison!I39</f>
        <v>}\\</v>
      </c>
    </row>
    <row r="28" spans="1:10" x14ac:dyDescent="0.25">
      <c r="A28" t="str">
        <f>Tex_table_comparison!A40</f>
        <v>Poly degree*</v>
      </c>
      <c r="B28" t="str">
        <f>Tex_table_comparison!B40</f>
        <v>&amp;</v>
      </c>
      <c r="C28" s="8">
        <f>Tex_table_comparison!C40</f>
        <v>1018</v>
      </c>
      <c r="D28" t="str">
        <f>Tex_table_comparison!D40</f>
        <v>&amp;</v>
      </c>
      <c r="E28" s="8">
        <f>Tex_table_comparison!E40</f>
        <v>940</v>
      </c>
      <c r="F28" t="str">
        <f>Tex_table_comparison!F40</f>
        <v>&amp;</v>
      </c>
      <c r="G28" t="str">
        <f>Tex_table_comparison!G40</f>
        <v>\textcolor{OliveGreen}{</v>
      </c>
      <c r="H28" s="18">
        <f>Tex_table_comparison!H40</f>
        <v>-7.6620825147347735E-2</v>
      </c>
      <c r="I28" t="str">
        <f>Tex_table_comparison!I40</f>
        <v>}\\</v>
      </c>
    </row>
    <row r="29" spans="1:10" x14ac:dyDescent="0.25">
      <c r="A29" t="str">
        <f>Tex_table_comparison!A41</f>
        <v>PK size$^*$</v>
      </c>
      <c r="B29" t="str">
        <f>Tex_table_comparison!B41</f>
        <v>&amp;</v>
      </c>
      <c r="C29" s="8">
        <f>Tex_table_comparison!C41</f>
        <v>1176</v>
      </c>
      <c r="D29" t="str">
        <f>Tex_table_comparison!D41</f>
        <v>&amp;</v>
      </c>
      <c r="E29" s="8">
        <f>Tex_table_comparison!E41</f>
        <v>972</v>
      </c>
      <c r="F29" t="str">
        <f>Tex_table_comparison!F41</f>
        <v>&amp;</v>
      </c>
      <c r="G29" t="str">
        <f>Tex_table_comparison!G41</f>
        <v>\textcolor{OliveGreen}{</v>
      </c>
      <c r="H29" s="18">
        <f>Tex_table_comparison!H41</f>
        <v>-0.17346938775510204</v>
      </c>
      <c r="I29" t="str">
        <f>Tex_table_comparison!I41</f>
        <v>}\\</v>
      </c>
    </row>
    <row r="30" spans="1:10" x14ac:dyDescent="0.25">
      <c r="A30" t="str">
        <f>Tex_table_comparison!A42</f>
        <v>SK size$^*$</v>
      </c>
      <c r="B30" t="str">
        <f>Tex_table_comparison!B42</f>
        <v>&amp;</v>
      </c>
      <c r="C30" s="8">
        <f>Tex_table_comparison!C42</f>
        <v>32</v>
      </c>
      <c r="D30" t="str">
        <f>Tex_table_comparison!D42</f>
        <v>&amp;</v>
      </c>
      <c r="E30" s="8">
        <f>Tex_table_comparison!E42</f>
        <v>32</v>
      </c>
      <c r="F30" t="str">
        <f>Tex_table_comparison!F42</f>
        <v>&amp;</v>
      </c>
      <c r="G30" t="str">
        <f>Tex_table_comparison!G42</f>
        <v>\textcolor{OliveGreen}{</v>
      </c>
      <c r="H30" s="18">
        <f>Tex_table_comparison!H42</f>
        <v>0</v>
      </c>
      <c r="I30" t="str">
        <f>Tex_table_comparison!I42</f>
        <v>}\\</v>
      </c>
    </row>
    <row r="31" spans="1:10" x14ac:dyDescent="0.25">
      <c r="A31" t="str">
        <f>Tex_table_comparison!A43</f>
        <v>CT size$^*$</v>
      </c>
      <c r="B31" t="str">
        <f>Tex_table_comparison!B43</f>
        <v>&amp;</v>
      </c>
      <c r="C31" s="8">
        <f>Tex_table_comparison!C43</f>
        <v>1274</v>
      </c>
      <c r="D31" t="str">
        <f>Tex_table_comparison!D43</f>
        <v>&amp;</v>
      </c>
      <c r="E31" s="8">
        <f>Tex_table_comparison!E43</f>
        <v>1063</v>
      </c>
      <c r="F31" t="str">
        <f>Tex_table_comparison!F43</f>
        <v>&amp;</v>
      </c>
      <c r="G31" t="str">
        <f>Tex_table_comparison!G43</f>
        <v>\textcolor{OliveGreen}{</v>
      </c>
      <c r="H31" s="18">
        <f>Tex_table_comparison!H43</f>
        <v>-0.16562009419152277</v>
      </c>
      <c r="I31" t="str">
        <f>Tex_table_comparison!I43</f>
        <v>}\\</v>
      </c>
    </row>
    <row r="32" spans="1:10" x14ac:dyDescent="0.25">
      <c r="A32" t="str">
        <f>Tex_table_comparison!A44</f>
        <v>Enc latency$^{**}$</v>
      </c>
      <c r="B32" t="str">
        <f>Tex_table_comparison!B44</f>
        <v>&amp;</v>
      </c>
      <c r="C32" s="8">
        <f>Tex_table_comparison!C44</f>
        <v>5031</v>
      </c>
      <c r="D32" t="str">
        <f>Tex_table_comparison!D44</f>
        <v>&amp;</v>
      </c>
      <c r="E32" s="8">
        <f>Tex_table_comparison!E44</f>
        <v>4279</v>
      </c>
      <c r="F32" t="str">
        <f>Tex_table_comparison!F44</f>
        <v>&amp;</v>
      </c>
      <c r="G32" t="str">
        <f>Tex_table_comparison!G44</f>
        <v>\textcolor{OliveGreen}{</v>
      </c>
      <c r="H32" s="18">
        <f>Tex_table_comparison!H44</f>
        <v>-0.14947326575233552</v>
      </c>
      <c r="I32" t="str">
        <f>Tex_table_comparison!I44</f>
        <v>}\\</v>
      </c>
    </row>
    <row r="33" spans="1:10" x14ac:dyDescent="0.25">
      <c r="A33" t="str">
        <f>Tex_table_comparison!A45</f>
        <v>Dec latency$^{**}$</v>
      </c>
      <c r="B33" t="str">
        <f>Tex_table_comparison!B45</f>
        <v>&amp;</v>
      </c>
      <c r="C33" s="8">
        <f>Tex_table_comparison!C45</f>
        <v>2450</v>
      </c>
      <c r="D33" t="str">
        <f>Tex_table_comparison!D45</f>
        <v>&amp;</v>
      </c>
      <c r="E33" s="8">
        <f>Tex_table_comparison!E45</f>
        <v>2252</v>
      </c>
      <c r="F33" t="str">
        <f>Tex_table_comparison!F45</f>
        <v>&amp;</v>
      </c>
      <c r="G33" t="str">
        <f>Tex_table_comparison!G45</f>
        <v>\textcolor{OliveGreen}{</v>
      </c>
      <c r="H33" s="18">
        <f>Tex_table_comparison!H45</f>
        <v>-8.0816326530612242E-2</v>
      </c>
      <c r="I33" t="str">
        <f>Tex_table_comparison!I45</f>
        <v>}\\</v>
      </c>
      <c r="J33" t="s">
        <v>122</v>
      </c>
    </row>
    <row r="34" spans="1:10" x14ac:dyDescent="0.25">
      <c r="A34" t="str">
        <f>Tex_table_comparison!A52</f>
        <v>Intel ALM’s</v>
      </c>
      <c r="B34" t="str">
        <f>Tex_table_comparison!B52</f>
        <v>&amp;</v>
      </c>
      <c r="C34" s="8">
        <f>Tex_table_comparison!C52</f>
        <v>61823</v>
      </c>
      <c r="D34" t="str">
        <f>Tex_table_comparison!D52</f>
        <v>&amp;</v>
      </c>
      <c r="E34" s="8">
        <f>Tex_table_comparison!E52</f>
        <v>50145</v>
      </c>
      <c r="F34" t="str">
        <f>Tex_table_comparison!F52</f>
        <v>&amp;</v>
      </c>
      <c r="G34" t="str">
        <f>Tex_table_comparison!G52</f>
        <v>\textcolor{OliveGreen}{</v>
      </c>
      <c r="H34" s="18">
        <f>Tex_table_comparison!H52</f>
        <v>-0.18889410090095918</v>
      </c>
      <c r="I34" t="str">
        <f>Tex_table_comparison!I52</f>
        <v>}\\</v>
      </c>
    </row>
    <row r="35" spans="1:10" x14ac:dyDescent="0.25">
      <c r="A35" t="str">
        <f>Tex_table_comparison!A53</f>
        <v>Intel Registers</v>
      </c>
      <c r="B35" t="str">
        <f>Tex_table_comparison!B53</f>
        <v>&amp;</v>
      </c>
      <c r="C35" s="8">
        <f>Tex_table_comparison!C53</f>
        <v>146373</v>
      </c>
      <c r="D35" t="str">
        <f>Tex_table_comparison!D53</f>
        <v>&amp;</v>
      </c>
      <c r="E35" s="8">
        <f>Tex_table_comparison!E53</f>
        <v>117657</v>
      </c>
      <c r="F35" t="str">
        <f>Tex_table_comparison!F53</f>
        <v>&amp;</v>
      </c>
      <c r="G35" t="str">
        <f>Tex_table_comparison!G53</f>
        <v>\textcolor{OliveGreen}{</v>
      </c>
      <c r="H35" s="18">
        <f>Tex_table_comparison!H53</f>
        <v>-0.19618372240782112</v>
      </c>
      <c r="I35" t="str">
        <f>Tex_table_comparison!I53</f>
        <v>}\\</v>
      </c>
    </row>
    <row r="36" spans="1:10" x14ac:dyDescent="0.25">
      <c r="A36" t="str">
        <f>Tex_table_comparison!A54</f>
        <v>Intel BRAM’s</v>
      </c>
      <c r="B36" t="str">
        <f>Tex_table_comparison!B54</f>
        <v>&amp;</v>
      </c>
      <c r="C36" s="8">
        <f>Tex_table_comparison!C54</f>
        <v>4</v>
      </c>
      <c r="D36" t="str">
        <f>Tex_table_comparison!D54</f>
        <v>&amp;</v>
      </c>
      <c r="E36" s="8">
        <f>Tex_table_comparison!E54</f>
        <v>4</v>
      </c>
      <c r="F36" t="str">
        <f>Tex_table_comparison!F54</f>
        <v>&amp;</v>
      </c>
      <c r="G36" t="str">
        <f>Tex_table_comparison!G54</f>
        <v>\textcolor{OliveGreen}{</v>
      </c>
      <c r="H36" s="18">
        <f>Tex_table_comparison!H54</f>
        <v>0</v>
      </c>
      <c r="I36" t="str">
        <f>Tex_table_comparison!I54</f>
        <v>}\\</v>
      </c>
    </row>
    <row r="37" spans="1:10" x14ac:dyDescent="0.25">
      <c r="A37" t="str">
        <f>Tex_table_comparison!A55</f>
        <v>Intel Max. freq (MHz)</v>
      </c>
      <c r="B37" t="str">
        <f>Tex_table_comparison!B55</f>
        <v>&amp;</v>
      </c>
      <c r="C37" s="8">
        <f>Tex_table_comparison!C55</f>
        <v>183.82</v>
      </c>
      <c r="D37" t="str">
        <f>Tex_table_comparison!D55</f>
        <v>&amp;</v>
      </c>
      <c r="E37" s="8">
        <f>Tex_table_comparison!E55</f>
        <v>184.2</v>
      </c>
      <c r="F37" t="str">
        <f>Tex_table_comparison!F55</f>
        <v>&amp;</v>
      </c>
      <c r="G37" t="str">
        <f>Tex_table_comparison!G55</f>
        <v>\textcolor{OliveGreen}{+</v>
      </c>
      <c r="H37" s="18">
        <f>Tex_table_comparison!H55</f>
        <v>2.0672396910020427E-3</v>
      </c>
      <c r="I37" t="str">
        <f>Tex_table_comparison!I55</f>
        <v>}\\</v>
      </c>
    </row>
    <row r="38" spans="1:10" x14ac:dyDescent="0.25">
      <c r="A38" t="str">
        <f>Tex_table_comparison!A56</f>
        <v>Enc time</v>
      </c>
      <c r="B38" t="str">
        <f>Tex_table_comparison!B56</f>
        <v>&amp;</v>
      </c>
      <c r="C38" s="9">
        <f>Tex_table_comparison!C56</f>
        <v>27.369165487977369</v>
      </c>
      <c r="D38" s="20" t="str">
        <f>Tex_table_comparison!D56</f>
        <v>&amp;</v>
      </c>
      <c r="E38" s="9">
        <f>Tex_table_comparison!E56</f>
        <v>23.230184581976115</v>
      </c>
      <c r="F38" t="str">
        <f>Tex_table_comparison!F56</f>
        <v>&amp;</v>
      </c>
      <c r="G38" t="str">
        <f>Tex_table_comparison!G56</f>
        <v>\textcolor{OliveGreen}{</v>
      </c>
      <c r="H38" s="18">
        <f>Tex_table_comparison!H56</f>
        <v>-0.15122788116500707</v>
      </c>
      <c r="I38" t="str">
        <f>Tex_table_comparison!I56</f>
        <v>}\\</v>
      </c>
    </row>
    <row r="39" spans="1:10" x14ac:dyDescent="0.25">
      <c r="A39" t="str">
        <f>Tex_table_comparison!A57</f>
        <v>Dec time</v>
      </c>
      <c r="B39" t="str">
        <f>Tex_table_comparison!B57</f>
        <v>&amp;</v>
      </c>
      <c r="C39" s="9">
        <f>Tex_table_comparison!C57</f>
        <v>13.328255902513328</v>
      </c>
      <c r="D39" s="20" t="str">
        <f>Tex_table_comparison!D57</f>
        <v>&amp;</v>
      </c>
      <c r="E39" s="9">
        <f>Tex_table_comparison!E57</f>
        <v>12.225841476655809</v>
      </c>
      <c r="F39" t="str">
        <f>Tex_table_comparison!F57</f>
        <v>&amp;</v>
      </c>
      <c r="G39" t="str">
        <f>Tex_table_comparison!G57</f>
        <v>\textcolor{OliveGreen}{</v>
      </c>
      <c r="H39" s="18">
        <f>Tex_table_comparison!H57</f>
        <v>-8.2712579494338453E-2</v>
      </c>
      <c r="I39" t="str">
        <f>Tex_table_comparison!I57</f>
        <v>}\\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120" zoomScaleNormal="120" workbookViewId="0">
      <selection activeCell="G2" sqref="G2"/>
    </sheetView>
  </sheetViews>
  <sheetFormatPr defaultRowHeight="15" x14ac:dyDescent="0.25"/>
  <cols>
    <col min="1" max="2" width="8.5703125" customWidth="1"/>
    <col min="3" max="5" width="8.5703125" style="8" customWidth="1"/>
    <col min="6" max="6" width="8.5703125" customWidth="1"/>
    <col min="7" max="7" width="21.42578125" customWidth="1"/>
    <col min="8" max="8" width="8.5703125" style="18" customWidth="1"/>
    <col min="9" max="1025" width="8.5703125" customWidth="1"/>
  </cols>
  <sheetData>
    <row r="1" spans="1:10" s="13" customFormat="1" x14ac:dyDescent="0.25">
      <c r="A1" s="13" t="str">
        <f>Tex_table_comparison!A58</f>
        <v>Parameter set</v>
      </c>
      <c r="B1" s="13" t="str">
        <f>Tex_table_comparison!B58</f>
        <v>&amp;</v>
      </c>
      <c r="C1" s="11" t="str">
        <f>Tex_table_comparison!C58</f>
        <v>1PKE_0d</v>
      </c>
      <c r="D1" s="11" t="str">
        <f>Tex_table_comparison!D58</f>
        <v>&amp;</v>
      </c>
      <c r="E1" s="11" t="str">
        <f>Tex_table_comparison!E58</f>
        <v>1PKE_5d</v>
      </c>
      <c r="F1" s="13" t="str">
        <f>Tex_table_comparison!F58</f>
        <v>&amp;</v>
      </c>
      <c r="H1" s="19"/>
      <c r="I1" s="13" t="s">
        <v>123</v>
      </c>
    </row>
    <row r="2" spans="1:10" x14ac:dyDescent="0.25">
      <c r="A2" t="str">
        <f>Tex_table_comparison!A59</f>
        <v>Poly degree*</v>
      </c>
      <c r="B2" t="str">
        <f>Tex_table_comparison!B59</f>
        <v>&amp;</v>
      </c>
      <c r="C2" s="8">
        <f>Tex_table_comparison!C59</f>
        <v>586</v>
      </c>
      <c r="D2" s="8" t="str">
        <f>Tex_table_comparison!D59</f>
        <v>&amp;</v>
      </c>
      <c r="E2" s="8">
        <f>Tex_table_comparison!E59</f>
        <v>508</v>
      </c>
      <c r="F2" t="str">
        <f>Tex_table_comparison!F59</f>
        <v>&amp;</v>
      </c>
      <c r="G2" t="str">
        <f>Tex_table_comparison!G59</f>
        <v>\textcolor{OliveGreen}{</v>
      </c>
      <c r="H2" s="18">
        <f>Tex_table_comparison!H59</f>
        <v>-0.13310580204778158</v>
      </c>
      <c r="I2" t="str">
        <f>Tex_table_comparison!I59</f>
        <v>}\\</v>
      </c>
    </row>
    <row r="3" spans="1:10" x14ac:dyDescent="0.25">
      <c r="A3" t="str">
        <f>Tex_table_comparison!A60</f>
        <v>PK size$^*$</v>
      </c>
      <c r="B3" t="str">
        <f>Tex_table_comparison!B60</f>
        <v>&amp;</v>
      </c>
      <c r="C3" s="8">
        <f>Tex_table_comparison!C60</f>
        <v>676</v>
      </c>
      <c r="D3" s="8" t="str">
        <f>Tex_table_comparison!D60</f>
        <v>&amp;</v>
      </c>
      <c r="E3" s="8">
        <f>Tex_table_comparison!E60</f>
        <v>461</v>
      </c>
      <c r="F3" t="str">
        <f>Tex_table_comparison!F60</f>
        <v>&amp;</v>
      </c>
      <c r="G3" t="str">
        <f>Tex_table_comparison!G60</f>
        <v>\textcolor{OliveGreen}{</v>
      </c>
      <c r="H3" s="18">
        <f>Tex_table_comparison!H60</f>
        <v>-0.31804733727810652</v>
      </c>
      <c r="I3" t="str">
        <f>Tex_table_comparison!I60</f>
        <v>}\\</v>
      </c>
    </row>
    <row r="4" spans="1:10" x14ac:dyDescent="0.25">
      <c r="A4" t="str">
        <f>Tex_table_comparison!A61</f>
        <v>SK size$^*$</v>
      </c>
      <c r="B4" t="str">
        <f>Tex_table_comparison!B61</f>
        <v>&amp;</v>
      </c>
      <c r="C4" s="8">
        <f>Tex_table_comparison!C61</f>
        <v>708</v>
      </c>
      <c r="D4" s="8" t="str">
        <f>Tex_table_comparison!D61</f>
        <v>&amp;</v>
      </c>
      <c r="E4" s="8">
        <f>Tex_table_comparison!E61</f>
        <v>493</v>
      </c>
      <c r="F4" t="str">
        <f>Tex_table_comparison!F61</f>
        <v>&amp;</v>
      </c>
      <c r="G4" t="str">
        <f>Tex_table_comparison!G61</f>
        <v>\textcolor{OliveGreen}{</v>
      </c>
      <c r="H4" s="18">
        <f>Tex_table_comparison!H61</f>
        <v>-0.3036723163841808</v>
      </c>
      <c r="I4" t="str">
        <f>Tex_table_comparison!I61</f>
        <v>}\\</v>
      </c>
    </row>
    <row r="5" spans="1:10" x14ac:dyDescent="0.25">
      <c r="A5" t="str">
        <f>Tex_table_comparison!A62</f>
        <v>CT size$^*$</v>
      </c>
      <c r="B5" t="str">
        <f>Tex_table_comparison!B62</f>
        <v>&amp;</v>
      </c>
      <c r="C5" s="8">
        <f>Tex_table_comparison!C62</f>
        <v>756</v>
      </c>
      <c r="D5" s="8" t="str">
        <f>Tex_table_comparison!D62</f>
        <v>&amp;</v>
      </c>
      <c r="E5" s="8">
        <f>Tex_table_comparison!E62</f>
        <v>636</v>
      </c>
      <c r="F5" t="str">
        <f>Tex_table_comparison!F62</f>
        <v>&amp;</v>
      </c>
      <c r="G5" t="str">
        <f>Tex_table_comparison!G62</f>
        <v>\textcolor{OliveGreen}{</v>
      </c>
      <c r="H5" s="18">
        <f>Tex_table_comparison!H62</f>
        <v>-0.15873015873015872</v>
      </c>
      <c r="I5" t="str">
        <f>Tex_table_comparison!I62</f>
        <v>}\\</v>
      </c>
    </row>
    <row r="6" spans="1:10" x14ac:dyDescent="0.25">
      <c r="A6" t="str">
        <f>Tex_table_comparison!A63</f>
        <v>Enc latency$^{**}$</v>
      </c>
      <c r="B6" t="str">
        <f>Tex_table_comparison!B63</f>
        <v>&amp;</v>
      </c>
      <c r="C6" s="8">
        <f>Tex_table_comparison!C63</f>
        <v>2990</v>
      </c>
      <c r="D6" s="8" t="str">
        <f>Tex_table_comparison!D63</f>
        <v>&amp;</v>
      </c>
      <c r="E6" s="8">
        <f>Tex_table_comparison!E63</f>
        <v>2423</v>
      </c>
      <c r="F6" t="str">
        <f>Tex_table_comparison!F63</f>
        <v>&amp;</v>
      </c>
      <c r="G6" t="str">
        <f>Tex_table_comparison!G63</f>
        <v>\textcolor{OliveGreen}{</v>
      </c>
      <c r="H6" s="18">
        <f>Tex_table_comparison!H63</f>
        <v>-0.18963210702341138</v>
      </c>
      <c r="I6" t="str">
        <f>Tex_table_comparison!I63</f>
        <v>}\\</v>
      </c>
    </row>
    <row r="7" spans="1:10" x14ac:dyDescent="0.25">
      <c r="A7" t="str">
        <f>Tex_table_comparison!A64</f>
        <v>Dec latency$^{**}$</v>
      </c>
      <c r="B7" t="str">
        <f>Tex_table_comparison!B64</f>
        <v>&amp;</v>
      </c>
      <c r="C7" s="8">
        <f>Tex_table_comparison!C64</f>
        <v>4063</v>
      </c>
      <c r="D7" s="8" t="str">
        <f>Tex_table_comparison!D64</f>
        <v>&amp;</v>
      </c>
      <c r="E7" s="8">
        <f>Tex_table_comparison!E64</f>
        <v>3395</v>
      </c>
      <c r="F7" t="str">
        <f>Tex_table_comparison!F64</f>
        <v>&amp;</v>
      </c>
      <c r="G7" t="str">
        <f>Tex_table_comparison!G64</f>
        <v>\textcolor{OliveGreen}{</v>
      </c>
      <c r="H7" s="18">
        <f>Tex_table_comparison!H64</f>
        <v>-0.16441053408811224</v>
      </c>
      <c r="I7" t="str">
        <f>Tex_table_comparison!I64</f>
        <v>}\\</v>
      </c>
      <c r="J7" t="s">
        <v>122</v>
      </c>
    </row>
    <row r="8" spans="1:10" x14ac:dyDescent="0.25">
      <c r="A8" t="str">
        <f>Tex_table_comparison!A71</f>
        <v>Intel ALM’s</v>
      </c>
      <c r="B8" t="str">
        <f>Tex_table_comparison!B71</f>
        <v>&amp;</v>
      </c>
      <c r="C8" s="8">
        <f>Tex_table_comparison!C71</f>
        <v>37252</v>
      </c>
      <c r="D8" s="8" t="str">
        <f>Tex_table_comparison!D71</f>
        <v>&amp;</v>
      </c>
      <c r="E8" s="8">
        <f>Tex_table_comparison!E71</f>
        <v>26998</v>
      </c>
      <c r="F8" t="str">
        <f>Tex_table_comparison!F71</f>
        <v>&amp;</v>
      </c>
      <c r="G8" t="str">
        <f>Tex_table_comparison!G71</f>
        <v>\textcolor{OliveGreen}{</v>
      </c>
      <c r="H8" s="18">
        <f>Tex_table_comparison!H71</f>
        <v>-0.27526038870396219</v>
      </c>
      <c r="I8" t="str">
        <f>Tex_table_comparison!I71</f>
        <v>}\\</v>
      </c>
    </row>
    <row r="9" spans="1:10" x14ac:dyDescent="0.25">
      <c r="A9" t="str">
        <f>Tex_table_comparison!A72</f>
        <v>Intel Registers</v>
      </c>
      <c r="B9" t="str">
        <f>Tex_table_comparison!B72</f>
        <v>&amp;</v>
      </c>
      <c r="C9" s="8">
        <f>Tex_table_comparison!C72</f>
        <v>82814</v>
      </c>
      <c r="D9" s="8" t="str">
        <f>Tex_table_comparison!D72</f>
        <v>&amp;</v>
      </c>
      <c r="E9" s="8">
        <f>Tex_table_comparison!E72</f>
        <v>57028</v>
      </c>
      <c r="F9" t="str">
        <f>Tex_table_comparison!F72</f>
        <v>&amp;</v>
      </c>
      <c r="G9" t="str">
        <f>Tex_table_comparison!G72</f>
        <v>\textcolor{OliveGreen}{</v>
      </c>
      <c r="H9" s="18">
        <f>Tex_table_comparison!H72</f>
        <v>-0.31137247325331463</v>
      </c>
      <c r="I9" t="str">
        <f>Tex_table_comparison!I72</f>
        <v>}\\</v>
      </c>
    </row>
    <row r="10" spans="1:10" x14ac:dyDescent="0.25">
      <c r="A10" t="str">
        <f>Tex_table_comparison!A73</f>
        <v>Intel BRAM’s</v>
      </c>
      <c r="B10" t="str">
        <f>Tex_table_comparison!B73</f>
        <v>&amp;</v>
      </c>
      <c r="C10" s="8">
        <f>Tex_table_comparison!C73</f>
        <v>6</v>
      </c>
      <c r="D10" s="8" t="str">
        <f>Tex_table_comparison!D73</f>
        <v>&amp;</v>
      </c>
      <c r="E10" s="8">
        <f>Tex_table_comparison!E73</f>
        <v>6</v>
      </c>
      <c r="F10" t="str">
        <f>Tex_table_comparison!F73</f>
        <v>&amp;</v>
      </c>
      <c r="G10" t="str">
        <f>Tex_table_comparison!G73</f>
        <v>\textcolor{OliveGreen}{</v>
      </c>
      <c r="H10" s="18">
        <f>Tex_table_comparison!H73</f>
        <v>0</v>
      </c>
      <c r="I10" t="str">
        <f>Tex_table_comparison!I73</f>
        <v>}\\</v>
      </c>
    </row>
    <row r="11" spans="1:10" x14ac:dyDescent="0.25">
      <c r="A11" t="str">
        <f>Tex_table_comparison!A74</f>
        <v>Intel Max. freq (MHz)</v>
      </c>
      <c r="B11" t="str">
        <f>Tex_table_comparison!B74</f>
        <v>&amp;</v>
      </c>
      <c r="C11" s="8">
        <f>Tex_table_comparison!C74</f>
        <v>191.09</v>
      </c>
      <c r="D11" s="8" t="str">
        <f>Tex_table_comparison!D74</f>
        <v>&amp;</v>
      </c>
      <c r="E11" s="8">
        <f>Tex_table_comparison!E74</f>
        <v>193.57</v>
      </c>
      <c r="F11" t="str">
        <f>Tex_table_comparison!F74</f>
        <v>&amp;</v>
      </c>
      <c r="G11" t="str">
        <f>Tex_table_comparison!G74</f>
        <v>\textcolor{OliveGreen}{+</v>
      </c>
      <c r="H11" s="18">
        <f>Tex_table_comparison!H74</f>
        <v>1.2978177821968652E-2</v>
      </c>
      <c r="I11" t="str">
        <f>Tex_table_comparison!I74</f>
        <v>}\\</v>
      </c>
    </row>
    <row r="12" spans="1:10" x14ac:dyDescent="0.25">
      <c r="A12" t="str">
        <f>Tex_table_comparison!A75</f>
        <v>Enc time</v>
      </c>
      <c r="B12" t="str">
        <f>Tex_table_comparison!B75</f>
        <v>&amp;</v>
      </c>
      <c r="C12" s="9">
        <f>Tex_table_comparison!C75</f>
        <v>15.647077293421948</v>
      </c>
      <c r="D12" s="9" t="str">
        <f>Tex_table_comparison!D75</f>
        <v>&amp;</v>
      </c>
      <c r="E12" s="9">
        <f>Tex_table_comparison!E75</f>
        <v>12.517435553029912</v>
      </c>
      <c r="F12" t="str">
        <f>Tex_table_comparison!F75</f>
        <v>&amp;</v>
      </c>
      <c r="G12" t="str">
        <f>Tex_table_comparison!G75</f>
        <v>\textcolor{OliveGreen}{</v>
      </c>
      <c r="H12" s="18">
        <f>Tex_table_comparison!H75</f>
        <v>-0.20001446159582409</v>
      </c>
      <c r="I12" t="str">
        <f>Tex_table_comparison!I75</f>
        <v>}\\</v>
      </c>
    </row>
    <row r="13" spans="1:10" x14ac:dyDescent="0.25">
      <c r="A13" t="str">
        <f>Tex_table_comparison!A76</f>
        <v>Dec time</v>
      </c>
      <c r="B13" t="str">
        <f>Tex_table_comparison!B76</f>
        <v>&amp;</v>
      </c>
      <c r="C13" s="9">
        <f>Tex_table_comparison!C76</f>
        <v>21.262232455910826</v>
      </c>
      <c r="D13" s="9" t="str">
        <f>Tex_table_comparison!D76</f>
        <v>&amp;</v>
      </c>
      <c r="E13" s="9">
        <f>Tex_table_comparison!E76</f>
        <v>17.53887482564447</v>
      </c>
      <c r="F13" t="str">
        <f>Tex_table_comparison!F76</f>
        <v>&amp;</v>
      </c>
      <c r="G13" t="str">
        <f>Tex_table_comparison!G76</f>
        <v>\textcolor{OliveGreen}{</v>
      </c>
      <c r="H13" s="18">
        <f>Tex_table_comparison!H76</f>
        <v>-0.17511602499817822</v>
      </c>
      <c r="I13" t="str">
        <f>Tex_table_comparison!I76</f>
        <v>}\\</v>
      </c>
    </row>
    <row r="14" spans="1:10" s="13" customFormat="1" x14ac:dyDescent="0.25">
      <c r="A14" s="13" t="str">
        <f>Tex_table_comparison!A77</f>
        <v>Parameter set</v>
      </c>
      <c r="B14" s="13" t="str">
        <f>Tex_table_comparison!B77</f>
        <v>&amp;</v>
      </c>
      <c r="C14" s="11" t="str">
        <f>Tex_table_comparison!C77</f>
        <v>3PKE_0d</v>
      </c>
      <c r="D14" s="11" t="str">
        <f>Tex_table_comparison!D77</f>
        <v>&amp;</v>
      </c>
      <c r="E14" s="11" t="str">
        <f>Tex_table_comparison!E77</f>
        <v>3PKE_5d</v>
      </c>
      <c r="F14" s="13" t="str">
        <f>Tex_table_comparison!F77</f>
        <v>&amp;</v>
      </c>
      <c r="H14" s="19"/>
      <c r="I14" s="13" t="s">
        <v>123</v>
      </c>
    </row>
    <row r="15" spans="1:10" x14ac:dyDescent="0.25">
      <c r="A15" t="str">
        <f>Tex_table_comparison!A78</f>
        <v>Poly degree*</v>
      </c>
      <c r="B15" t="str">
        <f>Tex_table_comparison!B78</f>
        <v>&amp;</v>
      </c>
      <c r="C15" s="8">
        <f>Tex_table_comparison!C78</f>
        <v>852</v>
      </c>
      <c r="D15" s="8" t="str">
        <f>Tex_table_comparison!D78</f>
        <v>&amp;</v>
      </c>
      <c r="E15" s="8">
        <f>Tex_table_comparison!E78</f>
        <v>756</v>
      </c>
      <c r="F15" t="str">
        <f>Tex_table_comparison!F78</f>
        <v>&amp;</v>
      </c>
      <c r="G15" t="str">
        <f>Tex_table_comparison!G78</f>
        <v>\textcolor{OliveGreen}{</v>
      </c>
      <c r="H15" s="18">
        <f>Tex_table_comparison!H78</f>
        <v>-0.11267605633802817</v>
      </c>
      <c r="I15" t="str">
        <f>Tex_table_comparison!I78</f>
        <v>}\\</v>
      </c>
    </row>
    <row r="16" spans="1:10" x14ac:dyDescent="0.25">
      <c r="A16" t="str">
        <f>Tex_table_comparison!A79</f>
        <v>PK size$^*$</v>
      </c>
      <c r="B16" t="str">
        <f>Tex_table_comparison!B79</f>
        <v>&amp;</v>
      </c>
      <c r="C16" s="8">
        <f>Tex_table_comparison!C79</f>
        <v>983</v>
      </c>
      <c r="D16" s="8" t="str">
        <f>Tex_table_comparison!D79</f>
        <v>&amp;</v>
      </c>
      <c r="E16" s="8">
        <f>Tex_table_comparison!E79</f>
        <v>780</v>
      </c>
      <c r="F16" t="str">
        <f>Tex_table_comparison!F79</f>
        <v>&amp;</v>
      </c>
      <c r="G16" t="str">
        <f>Tex_table_comparison!G79</f>
        <v>\textcolor{OliveGreen}{</v>
      </c>
      <c r="H16" s="18">
        <f>Tex_table_comparison!H79</f>
        <v>-0.20651068158697863</v>
      </c>
      <c r="I16" t="str">
        <f>Tex_table_comparison!I79</f>
        <v>}\\</v>
      </c>
    </row>
    <row r="17" spans="1:10" x14ac:dyDescent="0.25">
      <c r="A17" t="str">
        <f>Tex_table_comparison!A80</f>
        <v>SK size$^*$</v>
      </c>
      <c r="B17" t="str">
        <f>Tex_table_comparison!B80</f>
        <v>&amp;</v>
      </c>
      <c r="C17" s="8">
        <f>Tex_table_comparison!C80</f>
        <v>1031</v>
      </c>
      <c r="D17" s="8" t="str">
        <f>Tex_table_comparison!D80</f>
        <v>&amp;</v>
      </c>
      <c r="E17" s="8">
        <f>Tex_table_comparison!E80</f>
        <v>828</v>
      </c>
      <c r="F17" t="str">
        <f>Tex_table_comparison!F80</f>
        <v>&amp;</v>
      </c>
      <c r="G17" t="str">
        <f>Tex_table_comparison!G80</f>
        <v>\textcolor{OliveGreen}{</v>
      </c>
      <c r="H17" s="18">
        <f>Tex_table_comparison!H80</f>
        <v>-0.19689621726479145</v>
      </c>
      <c r="I17" t="str">
        <f>Tex_table_comparison!I80</f>
        <v>}\\</v>
      </c>
    </row>
    <row r="18" spans="1:10" x14ac:dyDescent="0.25">
      <c r="A18" t="str">
        <f>Tex_table_comparison!A81</f>
        <v>CT size$^*$</v>
      </c>
      <c r="B18" t="str">
        <f>Tex_table_comparison!B81</f>
        <v>&amp;</v>
      </c>
      <c r="C18" s="8">
        <f>Tex_table_comparison!C81</f>
        <v>1119</v>
      </c>
      <c r="D18" s="8" t="str">
        <f>Tex_table_comparison!D81</f>
        <v>&amp;</v>
      </c>
      <c r="E18" s="8">
        <f>Tex_table_comparison!E81</f>
        <v>950</v>
      </c>
      <c r="F18" t="str">
        <f>Tex_table_comparison!F81</f>
        <v>&amp;</v>
      </c>
      <c r="G18" t="str">
        <f>Tex_table_comparison!G81</f>
        <v>\textcolor{OliveGreen}{</v>
      </c>
      <c r="H18" s="18">
        <f>Tex_table_comparison!H81</f>
        <v>-0.15102770330652368</v>
      </c>
      <c r="I18" t="str">
        <f>Tex_table_comparison!I81</f>
        <v>}\\</v>
      </c>
    </row>
    <row r="19" spans="1:10" x14ac:dyDescent="0.25">
      <c r="A19" t="str">
        <f>Tex_table_comparison!A82</f>
        <v>Enc latency$^{**}$</v>
      </c>
      <c r="B19" t="str">
        <f>Tex_table_comparison!B82</f>
        <v>&amp;</v>
      </c>
      <c r="C19" s="8">
        <f>Tex_table_comparison!C82</f>
        <v>4248</v>
      </c>
      <c r="D19" s="8" t="str">
        <f>Tex_table_comparison!D82</f>
        <v>&amp;</v>
      </c>
      <c r="E19" s="8">
        <f>Tex_table_comparison!E82</f>
        <v>3650</v>
      </c>
      <c r="F19" t="str">
        <f>Tex_table_comparison!F82</f>
        <v>&amp;</v>
      </c>
      <c r="G19" t="str">
        <f>Tex_table_comparison!G82</f>
        <v>\textcolor{OliveGreen}{</v>
      </c>
      <c r="H19" s="18">
        <f>Tex_table_comparison!H82</f>
        <v>-0.14077212806026365</v>
      </c>
      <c r="I19" t="str">
        <f>Tex_table_comparison!I82</f>
        <v>}\\</v>
      </c>
    </row>
    <row r="20" spans="1:10" x14ac:dyDescent="0.25">
      <c r="A20" t="str">
        <f>Tex_table_comparison!A83</f>
        <v>Dec latency$^{**}$</v>
      </c>
      <c r="B20" t="str">
        <f>Tex_table_comparison!B83</f>
        <v>&amp;</v>
      </c>
      <c r="C20" s="8">
        <f>Tex_table_comparison!C83</f>
        <v>5839</v>
      </c>
      <c r="D20" s="8" t="str">
        <f>Tex_table_comparison!D83</f>
        <v>&amp;</v>
      </c>
      <c r="E20" s="8">
        <f>Tex_table_comparison!E83</f>
        <v>5076</v>
      </c>
      <c r="F20" t="str">
        <f>Tex_table_comparison!F83</f>
        <v>&amp;</v>
      </c>
      <c r="G20" t="str">
        <f>Tex_table_comparison!G83</f>
        <v>\textcolor{OliveGreen}{</v>
      </c>
      <c r="H20" s="18">
        <f>Tex_table_comparison!H83</f>
        <v>-0.13067306045555746</v>
      </c>
      <c r="I20" t="str">
        <f>Tex_table_comparison!I83</f>
        <v>}\\</v>
      </c>
      <c r="J20" t="s">
        <v>122</v>
      </c>
    </row>
    <row r="21" spans="1:10" x14ac:dyDescent="0.25">
      <c r="A21" t="str">
        <f>Tex_table_comparison!A90</f>
        <v>Intel ALM’s</v>
      </c>
      <c r="B21" t="str">
        <f>Tex_table_comparison!B90</f>
        <v>&amp;</v>
      </c>
      <c r="C21" s="8">
        <f>Tex_table_comparison!C90</f>
        <v>48029</v>
      </c>
      <c r="D21" s="8" t="str">
        <f>Tex_table_comparison!D90</f>
        <v>&amp;</v>
      </c>
      <c r="E21" s="8">
        <f>Tex_table_comparison!E90</f>
        <v>43014</v>
      </c>
      <c r="F21" t="str">
        <f>Tex_table_comparison!F90</f>
        <v>&amp;</v>
      </c>
      <c r="G21" t="str">
        <f>Tex_table_comparison!G90</f>
        <v>\textcolor{OliveGreen}{</v>
      </c>
      <c r="H21" s="18">
        <f>Tex_table_comparison!H90</f>
        <v>-0.10441608195048825</v>
      </c>
      <c r="I21" t="str">
        <f>Tex_table_comparison!I90</f>
        <v>}\\</v>
      </c>
    </row>
    <row r="22" spans="1:10" x14ac:dyDescent="0.25">
      <c r="A22" t="str">
        <f>Tex_table_comparison!A91</f>
        <v>Intel Registers</v>
      </c>
      <c r="B22" t="str">
        <f>Tex_table_comparison!B91</f>
        <v>&amp;</v>
      </c>
      <c r="C22" s="8">
        <f>Tex_table_comparison!C91</f>
        <v>108844</v>
      </c>
      <c r="D22" s="8" t="str">
        <f>Tex_table_comparison!D91</f>
        <v>&amp;</v>
      </c>
      <c r="E22" s="8">
        <f>Tex_table_comparison!E91</f>
        <v>96859</v>
      </c>
      <c r="F22" t="str">
        <f>Tex_table_comparison!F91</f>
        <v>&amp;</v>
      </c>
      <c r="G22" t="str">
        <f>Tex_table_comparison!G91</f>
        <v>\textcolor{OliveGreen}{</v>
      </c>
      <c r="H22" s="18">
        <f>Tex_table_comparison!H91</f>
        <v>-0.11011171952519201</v>
      </c>
      <c r="I22" t="str">
        <f>Tex_table_comparison!I91</f>
        <v>}\\</v>
      </c>
    </row>
    <row r="23" spans="1:10" x14ac:dyDescent="0.25">
      <c r="A23" t="str">
        <f>Tex_table_comparison!A92</f>
        <v>Intel BRAM’s</v>
      </c>
      <c r="B23" t="str">
        <f>Tex_table_comparison!B92</f>
        <v>&amp;</v>
      </c>
      <c r="C23" s="8">
        <f>Tex_table_comparison!C92</f>
        <v>6</v>
      </c>
      <c r="D23" s="8" t="str">
        <f>Tex_table_comparison!D92</f>
        <v>&amp;</v>
      </c>
      <c r="E23" s="8">
        <f>Tex_table_comparison!E92</f>
        <v>6</v>
      </c>
      <c r="F23" t="str">
        <f>Tex_table_comparison!F92</f>
        <v>&amp;</v>
      </c>
      <c r="G23" t="str">
        <f>Tex_table_comparison!G92</f>
        <v>\textcolor{OliveGreen}{</v>
      </c>
      <c r="H23" s="18">
        <f>Tex_table_comparison!H92</f>
        <v>0</v>
      </c>
      <c r="I23" t="str">
        <f>Tex_table_comparison!I92</f>
        <v>}\\</v>
      </c>
    </row>
    <row r="24" spans="1:10" x14ac:dyDescent="0.25">
      <c r="A24" t="str">
        <f>Tex_table_comparison!A93</f>
        <v>Intel Max. freq (MHz)</v>
      </c>
      <c r="B24" t="str">
        <f>Tex_table_comparison!B93</f>
        <v>&amp;</v>
      </c>
      <c r="C24" s="8">
        <f>Tex_table_comparison!C93</f>
        <v>194.7</v>
      </c>
      <c r="D24" s="8" t="str">
        <f>Tex_table_comparison!D93</f>
        <v>&amp;</v>
      </c>
      <c r="E24" s="8">
        <f>Tex_table_comparison!E93</f>
        <v>189.83</v>
      </c>
      <c r="F24" t="str">
        <f>Tex_table_comparison!F93</f>
        <v>&amp;</v>
      </c>
      <c r="G24" t="str">
        <f>Tex_table_comparison!G93</f>
        <v>\textcolor{red}{</v>
      </c>
      <c r="H24" s="18">
        <f>Tex_table_comparison!H93</f>
        <v>-2.5012840267077435E-2</v>
      </c>
      <c r="I24" t="str">
        <f>Tex_table_comparison!I93</f>
        <v>}\\</v>
      </c>
    </row>
    <row r="25" spans="1:10" x14ac:dyDescent="0.25">
      <c r="A25" t="str">
        <f>Tex_table_comparison!A94</f>
        <v>Enc time</v>
      </c>
      <c r="B25" t="str">
        <f>Tex_table_comparison!B94</f>
        <v>&amp;</v>
      </c>
      <c r="C25" s="9">
        <f>Tex_table_comparison!C94</f>
        <v>21.81818181818182</v>
      </c>
      <c r="D25" s="9" t="str">
        <f>Tex_table_comparison!D94</f>
        <v>&amp;</v>
      </c>
      <c r="E25" s="9">
        <f>Tex_table_comparison!E94</f>
        <v>19.227730074276984</v>
      </c>
      <c r="F25" t="str">
        <f>Tex_table_comparison!F94</f>
        <v>&amp;</v>
      </c>
      <c r="G25" t="str">
        <f>Tex_table_comparison!G94</f>
        <v>\textcolor{OliveGreen}{</v>
      </c>
      <c r="H25" s="18">
        <f>Tex_table_comparison!H94</f>
        <v>-0.11872903826230498</v>
      </c>
      <c r="I25" t="str">
        <f>Tex_table_comparison!I94</f>
        <v>}\\</v>
      </c>
    </row>
    <row r="26" spans="1:10" x14ac:dyDescent="0.25">
      <c r="A26" t="str">
        <f>Tex_table_comparison!A95</f>
        <v>Dec time</v>
      </c>
      <c r="B26" t="str">
        <f>Tex_table_comparison!B95</f>
        <v>&amp;</v>
      </c>
      <c r="C26" s="9">
        <f>Tex_table_comparison!C95</f>
        <v>29.989727786337959</v>
      </c>
      <c r="D26" s="9" t="str">
        <f>Tex_table_comparison!D95</f>
        <v>&amp;</v>
      </c>
      <c r="E26" s="9">
        <f>Tex_table_comparison!E95</f>
        <v>26.739714481378073</v>
      </c>
      <c r="F26" t="str">
        <f>Tex_table_comparison!F95</f>
        <v>&amp;</v>
      </c>
      <c r="G26" t="str">
        <f>Tex_table_comparison!G95</f>
        <v>\textcolor{OliveGreen}{</v>
      </c>
      <c r="H26" s="18">
        <f>Tex_table_comparison!H95</f>
        <v>-0.10837088379443222</v>
      </c>
      <c r="I26" t="str">
        <f>Tex_table_comparison!I95</f>
        <v>}\\</v>
      </c>
    </row>
    <row r="27" spans="1:10" s="13" customFormat="1" x14ac:dyDescent="0.25">
      <c r="A27" s="13" t="str">
        <f>Tex_table_comparison!A96</f>
        <v>Parameter set</v>
      </c>
      <c r="B27" s="13" t="str">
        <f>Tex_table_comparison!B96</f>
        <v>&amp;</v>
      </c>
      <c r="C27" s="11" t="str">
        <f>Tex_table_comparison!C96</f>
        <v>5PKE_0d</v>
      </c>
      <c r="D27" s="11" t="str">
        <f>Tex_table_comparison!D96</f>
        <v>&amp;</v>
      </c>
      <c r="E27" s="11" t="str">
        <f>Tex_table_comparison!E96</f>
        <v>5PKE_5d</v>
      </c>
      <c r="F27" s="13" t="str">
        <f>Tex_table_comparison!F96</f>
        <v>&amp;</v>
      </c>
      <c r="H27" s="19"/>
      <c r="I27" s="13" t="s">
        <v>123</v>
      </c>
    </row>
    <row r="28" spans="1:10" x14ac:dyDescent="0.25">
      <c r="A28" t="str">
        <f>Tex_table_comparison!A97</f>
        <v>Poly degree*</v>
      </c>
      <c r="B28" t="str">
        <f>Tex_table_comparison!B97</f>
        <v>&amp;</v>
      </c>
      <c r="C28" s="8">
        <f>Tex_table_comparison!C97</f>
        <v>1170</v>
      </c>
      <c r="D28" s="8" t="str">
        <f>Tex_table_comparison!D97</f>
        <v>&amp;</v>
      </c>
      <c r="E28" s="8">
        <f>Tex_table_comparison!E97</f>
        <v>946</v>
      </c>
      <c r="F28" t="str">
        <f>Tex_table_comparison!F97</f>
        <v>&amp;</v>
      </c>
      <c r="G28" t="str">
        <f>Tex_table_comparison!G97</f>
        <v>\textcolor{OliveGreen}{</v>
      </c>
      <c r="H28" s="18">
        <f>Tex_table_comparison!H97</f>
        <v>-0.19145299145299147</v>
      </c>
      <c r="I28" t="str">
        <f>Tex_table_comparison!I97</f>
        <v>}\\</v>
      </c>
    </row>
    <row r="29" spans="1:10" x14ac:dyDescent="0.25">
      <c r="A29" t="str">
        <f>Tex_table_comparison!A98</f>
        <v>PK size$^*$</v>
      </c>
      <c r="B29" t="str">
        <f>Tex_table_comparison!B98</f>
        <v>&amp;</v>
      </c>
      <c r="C29" s="8">
        <f>Tex_table_comparison!C98</f>
        <v>1349</v>
      </c>
      <c r="D29" s="8" t="str">
        <f>Tex_table_comparison!D98</f>
        <v>&amp;</v>
      </c>
      <c r="E29" s="8">
        <f>Tex_table_comparison!E98</f>
        <v>978</v>
      </c>
      <c r="F29" t="str">
        <f>Tex_table_comparison!F98</f>
        <v>&amp;</v>
      </c>
      <c r="G29" t="str">
        <f>Tex_table_comparison!G98</f>
        <v>\textcolor{OliveGreen}{</v>
      </c>
      <c r="H29" s="18">
        <f>Tex_table_comparison!H98</f>
        <v>-0.27501853224610823</v>
      </c>
      <c r="I29" t="str">
        <f>Tex_table_comparison!I98</f>
        <v>}\\</v>
      </c>
    </row>
    <row r="30" spans="1:10" x14ac:dyDescent="0.25">
      <c r="A30" t="str">
        <f>Tex_table_comparison!A99</f>
        <v>SK size$^*$</v>
      </c>
      <c r="B30" t="str">
        <f>Tex_table_comparison!B99</f>
        <v>&amp;</v>
      </c>
      <c r="C30" s="8">
        <f>Tex_table_comparison!C99</f>
        <v>1413</v>
      </c>
      <c r="D30" s="8" t="str">
        <f>Tex_table_comparison!D99</f>
        <v>&amp;</v>
      </c>
      <c r="E30" s="8">
        <f>Tex_table_comparison!E99</f>
        <v>1042</v>
      </c>
      <c r="F30" t="str">
        <f>Tex_table_comparison!F99</f>
        <v>&amp;</v>
      </c>
      <c r="G30" t="str">
        <f>Tex_table_comparison!G99</f>
        <v>\textcolor{OliveGreen}{</v>
      </c>
      <c r="H30" s="18">
        <f>Tex_table_comparison!H99</f>
        <v>-0.26256192498230713</v>
      </c>
      <c r="I30" t="str">
        <f>Tex_table_comparison!I99</f>
        <v>}\\</v>
      </c>
    </row>
    <row r="31" spans="1:10" x14ac:dyDescent="0.25">
      <c r="A31" t="str">
        <f>Tex_table_comparison!A100</f>
        <v>CT size$^*$</v>
      </c>
      <c r="B31" t="str">
        <f>Tex_table_comparison!B100</f>
        <v>&amp;</v>
      </c>
      <c r="C31" s="8">
        <f>Tex_table_comparison!C100</f>
        <v>1525</v>
      </c>
      <c r="D31" s="8" t="str">
        <f>Tex_table_comparison!D100</f>
        <v>&amp;</v>
      </c>
      <c r="E31" s="8">
        <f>Tex_table_comparison!E100</f>
        <v>1301</v>
      </c>
      <c r="F31" t="str">
        <f>Tex_table_comparison!F100</f>
        <v>&amp;</v>
      </c>
      <c r="G31" t="str">
        <f>Tex_table_comparison!G100</f>
        <v>\textcolor{OliveGreen}{</v>
      </c>
      <c r="H31" s="18">
        <f>Tex_table_comparison!H100</f>
        <v>-0.14688524590163934</v>
      </c>
      <c r="I31" t="str">
        <f>Tex_table_comparison!I100</f>
        <v>}\\</v>
      </c>
    </row>
    <row r="32" spans="1:10" x14ac:dyDescent="0.25">
      <c r="A32" t="str">
        <f>Tex_table_comparison!A101</f>
        <v>Enc latency$^{**}$</v>
      </c>
      <c r="B32" t="str">
        <f>Tex_table_comparison!B101</f>
        <v>&amp;</v>
      </c>
      <c r="C32" s="8">
        <f>Tex_table_comparison!C101</f>
        <v>5836</v>
      </c>
      <c r="D32" s="8" t="str">
        <f>Tex_table_comparison!D101</f>
        <v>&amp;</v>
      </c>
      <c r="E32" s="8">
        <f>Tex_table_comparison!E101</f>
        <v>4509</v>
      </c>
      <c r="F32" t="str">
        <f>Tex_table_comparison!F101</f>
        <v>&amp;</v>
      </c>
      <c r="G32" t="str">
        <f>Tex_table_comparison!G101</f>
        <v>\textcolor{OliveGreen}{</v>
      </c>
      <c r="H32" s="18">
        <f>Tex_table_comparison!H101</f>
        <v>-0.22738176833447568</v>
      </c>
      <c r="I32" t="str">
        <f>Tex_table_comparison!I101</f>
        <v>}\\</v>
      </c>
    </row>
    <row r="33" spans="1:10" x14ac:dyDescent="0.25">
      <c r="A33" t="str">
        <f>Tex_table_comparison!A102</f>
        <v>Dec latency$^{**}$</v>
      </c>
      <c r="B33" t="str">
        <f>Tex_table_comparison!B102</f>
        <v>&amp;</v>
      </c>
      <c r="C33" s="8">
        <f>Tex_table_comparison!C102</f>
        <v>7999</v>
      </c>
      <c r="D33" s="8" t="str">
        <f>Tex_table_comparison!D102</f>
        <v>&amp;</v>
      </c>
      <c r="E33" s="8">
        <f>Tex_table_comparison!E102</f>
        <v>6301</v>
      </c>
      <c r="F33" t="str">
        <f>Tex_table_comparison!F102</f>
        <v>&amp;</v>
      </c>
      <c r="G33" t="str">
        <f>Tex_table_comparison!G102</f>
        <v>\textcolor{OliveGreen}{</v>
      </c>
      <c r="H33" s="18">
        <f>Tex_table_comparison!H102</f>
        <v>-0.21227653456682086</v>
      </c>
      <c r="I33" t="str">
        <f>Tex_table_comparison!I102</f>
        <v>}\\</v>
      </c>
      <c r="J33" t="s">
        <v>122</v>
      </c>
    </row>
    <row r="34" spans="1:10" x14ac:dyDescent="0.25">
      <c r="A34" t="str">
        <f>Tex_table_comparison!A109</f>
        <v>Intel ALM’s</v>
      </c>
      <c r="B34" t="str">
        <f>Tex_table_comparison!B109</f>
        <v>&amp;</v>
      </c>
      <c r="C34" s="8">
        <f>Tex_table_comparison!C109</f>
        <v>69727</v>
      </c>
      <c r="D34" s="8" t="str">
        <f>Tex_table_comparison!D109</f>
        <v>&amp;</v>
      </c>
      <c r="E34" s="8">
        <f>Tex_table_comparison!E109</f>
        <v>50373</v>
      </c>
      <c r="F34" t="str">
        <f>Tex_table_comparison!F109</f>
        <v>&amp;</v>
      </c>
      <c r="G34" t="str">
        <f>Tex_table_comparison!G109</f>
        <v>\textcolor{OliveGreen}{</v>
      </c>
      <c r="H34" s="18">
        <f>Tex_table_comparison!H109</f>
        <v>-0.27756823038421269</v>
      </c>
      <c r="I34" t="str">
        <f>Tex_table_comparison!I109</f>
        <v>}\\</v>
      </c>
    </row>
    <row r="35" spans="1:10" x14ac:dyDescent="0.25">
      <c r="A35" t="str">
        <f>Tex_table_comparison!A110</f>
        <v>Intel Registers</v>
      </c>
      <c r="B35" t="str">
        <f>Tex_table_comparison!B110</f>
        <v>&amp;</v>
      </c>
      <c r="C35" s="8">
        <f>Tex_table_comparison!C110</f>
        <v>157660</v>
      </c>
      <c r="D35" s="8" t="str">
        <f>Tex_table_comparison!D110</f>
        <v>&amp;</v>
      </c>
      <c r="E35" s="8">
        <f>Tex_table_comparison!E110</f>
        <v>112311</v>
      </c>
      <c r="F35" t="str">
        <f>Tex_table_comparison!F110</f>
        <v>&amp;</v>
      </c>
      <c r="G35" t="str">
        <f>Tex_table_comparison!G110</f>
        <v>\textcolor{OliveGreen}{</v>
      </c>
      <c r="H35" s="18">
        <f>Tex_table_comparison!H110</f>
        <v>-0.28763795509323864</v>
      </c>
      <c r="I35" t="str">
        <f>Tex_table_comparison!I110</f>
        <v>}\\</v>
      </c>
    </row>
    <row r="36" spans="1:10" x14ac:dyDescent="0.25">
      <c r="A36" t="str">
        <f>Tex_table_comparison!A111</f>
        <v>Intel BRAM’s</v>
      </c>
      <c r="B36" t="str">
        <f>Tex_table_comparison!B111</f>
        <v>&amp;</v>
      </c>
      <c r="C36" s="8">
        <f>Tex_table_comparison!C111</f>
        <v>6</v>
      </c>
      <c r="D36" s="8" t="str">
        <f>Tex_table_comparison!D111</f>
        <v>&amp;</v>
      </c>
      <c r="E36" s="8">
        <f>Tex_table_comparison!E111</f>
        <v>6</v>
      </c>
      <c r="F36" t="str">
        <f>Tex_table_comparison!F111</f>
        <v>&amp;</v>
      </c>
      <c r="G36" t="str">
        <f>Tex_table_comparison!G111</f>
        <v>\textcolor{OliveGreen}{</v>
      </c>
      <c r="H36" s="18">
        <f>Tex_table_comparison!H111</f>
        <v>0</v>
      </c>
      <c r="I36" t="str">
        <f>Tex_table_comparison!I111</f>
        <v>}\\</v>
      </c>
    </row>
    <row r="37" spans="1:10" x14ac:dyDescent="0.25">
      <c r="A37" t="str">
        <f>Tex_table_comparison!A112</f>
        <v>Intel Max. freq (MHz)</v>
      </c>
      <c r="B37" t="str">
        <f>Tex_table_comparison!B112</f>
        <v>&amp;</v>
      </c>
      <c r="C37" s="8">
        <f>Tex_table_comparison!C112</f>
        <v>187.55</v>
      </c>
      <c r="D37" s="8" t="str">
        <f>Tex_table_comparison!D112</f>
        <v>&amp;</v>
      </c>
      <c r="E37" s="8">
        <f>Tex_table_comparison!E112</f>
        <v>197.23</v>
      </c>
      <c r="F37" t="str">
        <f>Tex_table_comparison!F112</f>
        <v>&amp;</v>
      </c>
      <c r="G37" t="str">
        <f>Tex_table_comparison!G112</f>
        <v>\textcolor{OliveGreen}{+</v>
      </c>
      <c r="H37" s="18">
        <f>Tex_table_comparison!H112</f>
        <v>5.1612903225806334E-2</v>
      </c>
      <c r="I37" t="str">
        <f>Tex_table_comparison!I112</f>
        <v>}\\</v>
      </c>
    </row>
    <row r="38" spans="1:10" x14ac:dyDescent="0.25">
      <c r="A38" t="str">
        <f>Tex_table_comparison!A113</f>
        <v>Enc time</v>
      </c>
      <c r="B38" t="str">
        <f>Tex_table_comparison!B113</f>
        <v>&amp;</v>
      </c>
      <c r="C38" s="9">
        <f>Tex_table_comparison!C113</f>
        <v>31.117035457211408</v>
      </c>
      <c r="D38" s="9" t="str">
        <f>Tex_table_comparison!D113</f>
        <v>&amp;</v>
      </c>
      <c r="E38" s="9">
        <f>Tex_table_comparison!E113</f>
        <v>22.86163362571617</v>
      </c>
      <c r="F38" t="str">
        <f>Tex_table_comparison!F113</f>
        <v>&amp;</v>
      </c>
      <c r="G38" t="str">
        <f>Tex_table_comparison!G113</f>
        <v>\textcolor{OliveGreen}{</v>
      </c>
      <c r="H38" s="18">
        <f>Tex_table_comparison!H113</f>
        <v>-0.26530168154505346</v>
      </c>
      <c r="I38" t="str">
        <f>Tex_table_comparison!I113</f>
        <v>}\\</v>
      </c>
    </row>
    <row r="39" spans="1:10" x14ac:dyDescent="0.25">
      <c r="A39" t="str">
        <f>Tex_table_comparison!A114</f>
        <v>Dec time</v>
      </c>
      <c r="B39" t="str">
        <f>Tex_table_comparison!B114</f>
        <v>&amp;</v>
      </c>
      <c r="C39" s="9">
        <f>Tex_table_comparison!C114</f>
        <v>42.649960010663818</v>
      </c>
      <c r="D39" s="9" t="str">
        <f>Tex_table_comparison!D114</f>
        <v>&amp;</v>
      </c>
      <c r="E39" s="9">
        <f>Tex_table_comparison!E114</f>
        <v>31.94747249404249</v>
      </c>
      <c r="F39" t="str">
        <f>Tex_table_comparison!F114</f>
        <v>&amp;</v>
      </c>
      <c r="G39" t="str">
        <f>Tex_table_comparison!G114</f>
        <v>\textcolor{OliveGreen}{</v>
      </c>
      <c r="H39" s="18">
        <f>Tex_table_comparison!H114</f>
        <v>-0.25093780894390927</v>
      </c>
      <c r="I39" t="str">
        <f>Tex_table_comparison!I114</f>
        <v>}\\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Cycle_estimation</vt:lpstr>
      <vt:lpstr>Results</vt:lpstr>
      <vt:lpstr>Cycle_estimation_with_XEf</vt:lpstr>
      <vt:lpstr>Tex_table_comparison</vt:lpstr>
      <vt:lpstr>TEX_compare_all_HP_designs</vt:lpstr>
      <vt:lpstr>Tex_table_KEM_HP_Intel</vt:lpstr>
      <vt:lpstr>Tex_table_PKE_HP_Intel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</dc:creator>
  <dc:description/>
  <cp:lastModifiedBy>Użytkownik systemu Windows</cp:lastModifiedBy>
  <cp:revision>11</cp:revision>
  <dcterms:created xsi:type="dcterms:W3CDTF">2019-04-20T12:41:38Z</dcterms:created>
  <dcterms:modified xsi:type="dcterms:W3CDTF">2020-03-15T22:41:39Z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