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clay\Desktop\"/>
    </mc:Choice>
  </mc:AlternateContent>
  <xr:revisionPtr revIDLastSave="0" documentId="13_ncr:1_{79693AB8-0D83-4535-85B0-D4BE9E5D40A0}" xr6:coauthVersionLast="47" xr6:coauthVersionMax="47" xr10:uidLastSave="{00000000-0000-0000-0000-000000000000}"/>
  <bookViews>
    <workbookView xWindow="25665" yWindow="0" windowWidth="26040" windowHeight="20985" xr2:uid="{00000000-000D-0000-FFFF-FFFF00000000}"/>
  </bookViews>
  <sheets>
    <sheet name="Complex Model" sheetId="7" r:id="rId1"/>
    <sheet name="Complex Model (2)" sheetId="10" r:id="rId2"/>
    <sheet name="Sheet2" sheetId="11" r:id="rId3"/>
    <sheet name="Investment Calculations" sheetId="2" r:id="rId4"/>
    <sheet name="Questions" sheetId="4" r:id="rId5"/>
    <sheet name="Inspection" sheetId="5" r:id="rId6"/>
    <sheet name="Idea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7" l="1"/>
  <c r="B77" i="7"/>
  <c r="B9" i="7"/>
  <c r="B74" i="7"/>
  <c r="B15" i="7"/>
  <c r="J3" i="10"/>
  <c r="D53" i="10"/>
  <c r="E43" i="10"/>
  <c r="A96" i="10"/>
  <c r="B87" i="10"/>
  <c r="B88" i="10" s="1"/>
  <c r="B77" i="10"/>
  <c r="B74" i="10"/>
  <c r="E72" i="10"/>
  <c r="E73" i="10" s="1"/>
  <c r="E74" i="10" s="1"/>
  <c r="E75" i="10" s="1"/>
  <c r="E76" i="10" s="1"/>
  <c r="E64" i="10"/>
  <c r="E65" i="10" s="1"/>
  <c r="E66" i="10" s="1"/>
  <c r="E67" i="10" s="1"/>
  <c r="E68" i="10" s="1"/>
  <c r="E69" i="10" s="1"/>
  <c r="E70" i="10" s="1"/>
  <c r="E71" i="10" s="1"/>
  <c r="A58" i="10"/>
  <c r="C57" i="10"/>
  <c r="F49" i="10"/>
  <c r="L34" i="10"/>
  <c r="M34" i="10" s="1"/>
  <c r="B24" i="10"/>
  <c r="B18" i="10"/>
  <c r="E15" i="10"/>
  <c r="B15" i="10"/>
  <c r="E14" i="10"/>
  <c r="B9" i="10"/>
  <c r="B8" i="10"/>
  <c r="C3" i="10"/>
  <c r="C2" i="10"/>
  <c r="E1" i="10"/>
  <c r="C1" i="10"/>
  <c r="C57" i="7"/>
  <c r="B24" i="7"/>
  <c r="G2" i="7" s="1"/>
  <c r="E14" i="7"/>
  <c r="E72" i="7"/>
  <c r="E73" i="7"/>
  <c r="E74" i="7"/>
  <c r="E75" i="7"/>
  <c r="E76" i="7"/>
  <c r="E64" i="7"/>
  <c r="E65" i="7"/>
  <c r="E66" i="7"/>
  <c r="E67" i="7"/>
  <c r="E68" i="7"/>
  <c r="E69" i="7"/>
  <c r="E70" i="7"/>
  <c r="E71" i="7"/>
  <c r="B8" i="7"/>
  <c r="B13" i="7" s="1"/>
  <c r="C41" i="7" s="1"/>
  <c r="L19" i="5"/>
  <c r="P20" i="5"/>
  <c r="P19" i="5"/>
  <c r="I21" i="5"/>
  <c r="K21" i="5"/>
  <c r="K20" i="5"/>
  <c r="A96" i="7"/>
  <c r="B87" i="7"/>
  <c r="B88" i="7"/>
  <c r="A58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18" i="7"/>
  <c r="E15" i="7"/>
  <c r="C3" i="7"/>
  <c r="C2" i="7"/>
  <c r="E1" i="7"/>
  <c r="C1" i="7"/>
  <c r="C15" i="2"/>
  <c r="C23" i="2"/>
  <c r="B14" i="2"/>
  <c r="B21" i="2"/>
  <c r="D24" i="2"/>
  <c r="C18" i="2"/>
  <c r="B6" i="2"/>
  <c r="C19" i="2"/>
  <c r="C20" i="2"/>
  <c r="C24" i="2"/>
  <c r="O42" i="7" l="1"/>
  <c r="AA41" i="7"/>
  <c r="AF48" i="7"/>
  <c r="O47" i="7"/>
  <c r="D41" i="7"/>
  <c r="E41" i="7" s="1"/>
  <c r="F41" i="7" s="1"/>
  <c r="G41" i="7" s="1"/>
  <c r="H41" i="7" s="1"/>
  <c r="I41" i="7" s="1"/>
  <c r="J41" i="7" s="1"/>
  <c r="K41" i="7" s="1"/>
  <c r="L41" i="7" s="1"/>
  <c r="M37" i="7"/>
  <c r="M29" i="7" s="1"/>
  <c r="M26" i="7" s="1"/>
  <c r="R38" i="7"/>
  <c r="AA43" i="7"/>
  <c r="R49" i="7"/>
  <c r="S44" i="7"/>
  <c r="AD47" i="7"/>
  <c r="AE44" i="7"/>
  <c r="B98" i="7"/>
  <c r="B99" i="7" s="1"/>
  <c r="B100" i="7" s="1"/>
  <c r="X40" i="7"/>
  <c r="Z43" i="7"/>
  <c r="K48" i="7"/>
  <c r="O37" i="7"/>
  <c r="O28" i="7" s="1"/>
  <c r="P48" i="7"/>
  <c r="A83" i="7"/>
  <c r="AB49" i="7"/>
  <c r="I48" i="7"/>
  <c r="T40" i="7"/>
  <c r="Y43" i="7"/>
  <c r="AE48" i="7"/>
  <c r="AC38" i="7"/>
  <c r="S43" i="7"/>
  <c r="AC45" i="7"/>
  <c r="AC40" i="7"/>
  <c r="M46" i="7"/>
  <c r="Q41" i="7"/>
  <c r="A80" i="7"/>
  <c r="W43" i="7"/>
  <c r="P49" i="7"/>
  <c r="AF44" i="7"/>
  <c r="AC49" i="7"/>
  <c r="AA38" i="7"/>
  <c r="AA37" i="7"/>
  <c r="AA29" i="7" s="1"/>
  <c r="AA39" i="7" s="1"/>
  <c r="Q37" i="7"/>
  <c r="Q29" i="7" s="1"/>
  <c r="Q39" i="7" s="1"/>
  <c r="T44" i="7"/>
  <c r="AC37" i="7"/>
  <c r="AC29" i="7" s="1"/>
  <c r="AC39" i="7" s="1"/>
  <c r="T37" i="7"/>
  <c r="T29" i="7" s="1"/>
  <c r="T39" i="7" s="1"/>
  <c r="AA48" i="7"/>
  <c r="B59" i="7"/>
  <c r="Z37" i="7"/>
  <c r="Z29" i="7" s="1"/>
  <c r="Z26" i="7" s="1"/>
  <c r="X48" i="7"/>
  <c r="W49" i="7"/>
  <c r="AE45" i="7"/>
  <c r="Y38" i="7"/>
  <c r="S37" i="7"/>
  <c r="S28" i="7" s="1"/>
  <c r="H49" i="7"/>
  <c r="W48" i="7"/>
  <c r="T43" i="7"/>
  <c r="V41" i="7"/>
  <c r="Y49" i="7"/>
  <c r="P44" i="7"/>
  <c r="J49" i="7"/>
  <c r="K49" i="7"/>
  <c r="AC41" i="7"/>
  <c r="S49" i="7"/>
  <c r="T45" i="7"/>
  <c r="L46" i="7"/>
  <c r="E49" i="7"/>
  <c r="R41" i="7"/>
  <c r="AF42" i="7"/>
  <c r="Q45" i="7"/>
  <c r="M49" i="7"/>
  <c r="S42" i="7"/>
  <c r="X47" i="7"/>
  <c r="AA47" i="7"/>
  <c r="AF45" i="7"/>
  <c r="Z49" i="7"/>
  <c r="AD41" i="7"/>
  <c r="Y46" i="7"/>
  <c r="M45" i="7"/>
  <c r="M48" i="7"/>
  <c r="R47" i="7"/>
  <c r="Q49" i="7"/>
  <c r="R42" i="7"/>
  <c r="AD49" i="7"/>
  <c r="R43" i="7"/>
  <c r="Z41" i="7"/>
  <c r="T46" i="7"/>
  <c r="R44" i="7"/>
  <c r="U46" i="7"/>
  <c r="S38" i="7"/>
  <c r="W47" i="7"/>
  <c r="Y40" i="7"/>
  <c r="V44" i="7"/>
  <c r="N47" i="7"/>
  <c r="V49" i="7"/>
  <c r="AA44" i="7"/>
  <c r="AE37" i="7"/>
  <c r="AE29" i="7" s="1"/>
  <c r="AE26" i="7" s="1"/>
  <c r="AB41" i="7"/>
  <c r="N42" i="7"/>
  <c r="AB40" i="7"/>
  <c r="V46" i="7"/>
  <c r="AD45" i="7"/>
  <c r="AD44" i="7"/>
  <c r="AD48" i="7"/>
  <c r="O40" i="7"/>
  <c r="W38" i="7"/>
  <c r="A84" i="7"/>
  <c r="Y41" i="7"/>
  <c r="S45" i="7"/>
  <c r="V48" i="7"/>
  <c r="AF47" i="7"/>
  <c r="I49" i="7"/>
  <c r="AE46" i="7"/>
  <c r="AB44" i="7"/>
  <c r="H48" i="7"/>
  <c r="J48" i="7"/>
  <c r="AE43" i="7"/>
  <c r="AC42" i="7"/>
  <c r="Z46" i="7"/>
  <c r="X37" i="7"/>
  <c r="X28" i="7" s="1"/>
  <c r="AB48" i="7"/>
  <c r="C48" i="7"/>
  <c r="S41" i="7"/>
  <c r="N43" i="7"/>
  <c r="M43" i="7"/>
  <c r="U49" i="7"/>
  <c r="U45" i="7"/>
  <c r="V37" i="7"/>
  <c r="V28" i="7" s="1"/>
  <c r="N46" i="7"/>
  <c r="M44" i="7"/>
  <c r="U44" i="7"/>
  <c r="C44" i="7"/>
  <c r="D44" i="7" s="1"/>
  <c r="E44" i="7" s="1"/>
  <c r="F44" i="7" s="1"/>
  <c r="G44" i="7" s="1"/>
  <c r="H44" i="7" s="1"/>
  <c r="I44" i="7" s="1"/>
  <c r="J44" i="7" s="1"/>
  <c r="K44" i="7" s="1"/>
  <c r="L44" i="7" s="1"/>
  <c r="W45" i="7"/>
  <c r="AF46" i="7"/>
  <c r="R46" i="7"/>
  <c r="AB43" i="7"/>
  <c r="N38" i="7"/>
  <c r="X45" i="7"/>
  <c r="P38" i="7"/>
  <c r="V43" i="7"/>
  <c r="Q44" i="7"/>
  <c r="T42" i="7"/>
  <c r="S40" i="7"/>
  <c r="Y48" i="7"/>
  <c r="R40" i="7"/>
  <c r="AE40" i="7"/>
  <c r="D49" i="7"/>
  <c r="AC46" i="7"/>
  <c r="O46" i="7"/>
  <c r="Q42" i="7"/>
  <c r="V47" i="7"/>
  <c r="M47" i="7"/>
  <c r="N37" i="7"/>
  <c r="N28" i="7" s="1"/>
  <c r="P41" i="7"/>
  <c r="S47" i="7"/>
  <c r="N48" i="7"/>
  <c r="V45" i="7"/>
  <c r="T47" i="7"/>
  <c r="Z48" i="7"/>
  <c r="P45" i="7"/>
  <c r="O41" i="7"/>
  <c r="O49" i="7"/>
  <c r="D48" i="7"/>
  <c r="Z45" i="7"/>
  <c r="Y44" i="7"/>
  <c r="W44" i="7"/>
  <c r="G1" i="7"/>
  <c r="Z42" i="7"/>
  <c r="AB38" i="7"/>
  <c r="U42" i="7"/>
  <c r="AF37" i="7"/>
  <c r="AF29" i="7" s="1"/>
  <c r="AF39" i="7" s="1"/>
  <c r="U48" i="7"/>
  <c r="T48" i="7"/>
  <c r="AE47" i="7"/>
  <c r="Q47" i="7"/>
  <c r="A61" i="7"/>
  <c r="Y47" i="7"/>
  <c r="N41" i="7"/>
  <c r="Q38" i="7"/>
  <c r="W46" i="7"/>
  <c r="N40" i="7"/>
  <c r="O38" i="7"/>
  <c r="M40" i="7"/>
  <c r="Z38" i="7"/>
  <c r="AC43" i="7"/>
  <c r="AE38" i="7"/>
  <c r="P42" i="7"/>
  <c r="W42" i="7"/>
  <c r="U37" i="7"/>
  <c r="U28" i="7" s="1"/>
  <c r="AA46" i="7"/>
  <c r="R37" i="7"/>
  <c r="R29" i="7" s="1"/>
  <c r="R39" i="7" s="1"/>
  <c r="T49" i="7"/>
  <c r="C85" i="7"/>
  <c r="AB37" i="7"/>
  <c r="AB29" i="7" s="1"/>
  <c r="AB39" i="7" s="1"/>
  <c r="R48" i="7"/>
  <c r="AE42" i="7"/>
  <c r="U40" i="7"/>
  <c r="V42" i="7"/>
  <c r="P40" i="7"/>
  <c r="AE49" i="7"/>
  <c r="Q46" i="7"/>
  <c r="N44" i="7"/>
  <c r="X44" i="7"/>
  <c r="C49" i="7"/>
  <c r="U43" i="7"/>
  <c r="P37" i="7"/>
  <c r="P28" i="7" s="1"/>
  <c r="X46" i="7"/>
  <c r="A82" i="7"/>
  <c r="W40" i="7"/>
  <c r="E48" i="7"/>
  <c r="N49" i="7"/>
  <c r="F48" i="7"/>
  <c r="AF38" i="7"/>
  <c r="W41" i="7"/>
  <c r="AD38" i="7"/>
  <c r="B66" i="7"/>
  <c r="M42" i="7"/>
  <c r="C70" i="7"/>
  <c r="AC48" i="7"/>
  <c r="P43" i="7"/>
  <c r="X43" i="7"/>
  <c r="C84" i="7"/>
  <c r="X38" i="7"/>
  <c r="AA42" i="7"/>
  <c r="AF49" i="7"/>
  <c r="Y37" i="7"/>
  <c r="Y29" i="7" s="1"/>
  <c r="Y26" i="7" s="1"/>
  <c r="AD46" i="7"/>
  <c r="S46" i="7"/>
  <c r="AC47" i="7"/>
  <c r="M41" i="7"/>
  <c r="Q40" i="7"/>
  <c r="R45" i="7"/>
  <c r="Z40" i="7"/>
  <c r="AD40" i="7"/>
  <c r="X41" i="7"/>
  <c r="P46" i="7"/>
  <c r="X49" i="7"/>
  <c r="AB47" i="7"/>
  <c r="Z44" i="7"/>
  <c r="AC44" i="7"/>
  <c r="Y45" i="7"/>
  <c r="O48" i="7"/>
  <c r="AF41" i="7"/>
  <c r="O45" i="7"/>
  <c r="AA45" i="7"/>
  <c r="AD42" i="7"/>
  <c r="AD37" i="7"/>
  <c r="AD28" i="7" s="1"/>
  <c r="V38" i="7"/>
  <c r="U38" i="7"/>
  <c r="AB45" i="7"/>
  <c r="T41" i="7"/>
  <c r="Q43" i="7"/>
  <c r="N45" i="7"/>
  <c r="U47" i="7"/>
  <c r="AB46" i="7"/>
  <c r="U41" i="7"/>
  <c r="AB42" i="7"/>
  <c r="AA40" i="7"/>
  <c r="B78" i="7"/>
  <c r="Q48" i="7"/>
  <c r="AF43" i="7"/>
  <c r="F49" i="7"/>
  <c r="AF40" i="7"/>
  <c r="S48" i="7"/>
  <c r="AD43" i="7"/>
  <c r="Y42" i="7"/>
  <c r="W37" i="7"/>
  <c r="W28" i="7" s="1"/>
  <c r="P47" i="7"/>
  <c r="V40" i="7"/>
  <c r="V33" i="7" s="1"/>
  <c r="AE41" i="7"/>
  <c r="AA49" i="7"/>
  <c r="A99" i="7"/>
  <c r="Z47" i="7"/>
  <c r="M38" i="7"/>
  <c r="X42" i="7"/>
  <c r="O43" i="7"/>
  <c r="T38" i="7"/>
  <c r="O44" i="7"/>
  <c r="C43" i="7"/>
  <c r="D43" i="7" s="1"/>
  <c r="E43" i="7" s="1"/>
  <c r="F43" i="7" s="1"/>
  <c r="G43" i="7" s="1"/>
  <c r="H43" i="7" s="1"/>
  <c r="I43" i="7" s="1"/>
  <c r="J43" i="7" s="1"/>
  <c r="K43" i="7" s="1"/>
  <c r="L43" i="7" s="1"/>
  <c r="B14" i="7"/>
  <c r="C42" i="7" s="1"/>
  <c r="D42" i="7" s="1"/>
  <c r="E42" i="7" s="1"/>
  <c r="F42" i="7" s="1"/>
  <c r="G42" i="7" s="1"/>
  <c r="H42" i="7" s="1"/>
  <c r="I42" i="7" s="1"/>
  <c r="J42" i="7" s="1"/>
  <c r="K42" i="7" s="1"/>
  <c r="L42" i="7" s="1"/>
  <c r="M49" i="10"/>
  <c r="M45" i="10"/>
  <c r="M41" i="10"/>
  <c r="M37" i="10"/>
  <c r="M46" i="10"/>
  <c r="M42" i="10"/>
  <c r="M38" i="10"/>
  <c r="M43" i="10"/>
  <c r="M40" i="10"/>
  <c r="M48" i="10"/>
  <c r="N34" i="10"/>
  <c r="M47" i="10"/>
  <c r="M44" i="10"/>
  <c r="A82" i="10"/>
  <c r="C70" i="10"/>
  <c r="B59" i="10"/>
  <c r="K48" i="10"/>
  <c r="C48" i="10"/>
  <c r="E48" i="10" s="1"/>
  <c r="C44" i="10"/>
  <c r="C84" i="10"/>
  <c r="J48" i="10"/>
  <c r="A99" i="10"/>
  <c r="K49" i="10"/>
  <c r="C49" i="10"/>
  <c r="E49" i="10" s="1"/>
  <c r="I48" i="10"/>
  <c r="C85" i="10"/>
  <c r="B66" i="10"/>
  <c r="B98" i="10"/>
  <c r="B99" i="10" s="1"/>
  <c r="B100" i="10" s="1"/>
  <c r="A80" i="10"/>
  <c r="L46" i="10"/>
  <c r="G2" i="10"/>
  <c r="H49" i="10"/>
  <c r="B78" i="10"/>
  <c r="J49" i="10"/>
  <c r="A84" i="10"/>
  <c r="I49" i="10"/>
  <c r="G1" i="10"/>
  <c r="G49" i="10"/>
  <c r="A61" i="10"/>
  <c r="F48" i="10"/>
  <c r="C43" i="10"/>
  <c r="A83" i="10"/>
  <c r="F43" i="10"/>
  <c r="G43" i="10" s="1"/>
  <c r="H43" i="10" s="1"/>
  <c r="I43" i="10" s="1"/>
  <c r="J43" i="10" s="1"/>
  <c r="K43" i="10" s="1"/>
  <c r="L43" i="10" s="1"/>
  <c r="G48" i="10"/>
  <c r="B29" i="10"/>
  <c r="B30" i="10" s="1"/>
  <c r="B35" i="10"/>
  <c r="B28" i="10"/>
  <c r="C40" i="10" s="1"/>
  <c r="E40" i="10" s="1"/>
  <c r="B13" i="10"/>
  <c r="C41" i="10" s="1"/>
  <c r="B14" i="10"/>
  <c r="C42" i="10" s="1"/>
  <c r="B36" i="10"/>
  <c r="H48" i="10"/>
  <c r="B35" i="7"/>
  <c r="B29" i="7"/>
  <c r="B30" i="7" s="1"/>
  <c r="B28" i="7"/>
  <c r="C40" i="7" s="1"/>
  <c r="B36" i="7"/>
  <c r="T28" i="7" l="1"/>
  <c r="S33" i="7"/>
  <c r="AF33" i="7"/>
  <c r="AC26" i="7"/>
  <c r="AF26" i="7"/>
  <c r="T26" i="7"/>
  <c r="Y33" i="7"/>
  <c r="M28" i="7"/>
  <c r="R26" i="7"/>
  <c r="N33" i="7"/>
  <c r="X29" i="7"/>
  <c r="X39" i="7" s="1"/>
  <c r="X50" i="7" s="1"/>
  <c r="X51" i="7" s="1"/>
  <c r="R33" i="7"/>
  <c r="AC33" i="7"/>
  <c r="M39" i="7"/>
  <c r="M50" i="7" s="1"/>
  <c r="M51" i="7" s="1"/>
  <c r="T33" i="7"/>
  <c r="Q26" i="7"/>
  <c r="AE33" i="7"/>
  <c r="W33" i="7"/>
  <c r="AA33" i="7"/>
  <c r="W29" i="7"/>
  <c r="W39" i="7" s="1"/>
  <c r="W50" i="7" s="1"/>
  <c r="W51" i="7" s="1"/>
  <c r="AB50" i="7"/>
  <c r="AB51" i="7" s="1"/>
  <c r="Z33" i="7"/>
  <c r="Q28" i="7"/>
  <c r="Q33" i="7"/>
  <c r="P33" i="7"/>
  <c r="M33" i="7"/>
  <c r="T50" i="7"/>
  <c r="T51" i="7" s="1"/>
  <c r="AF50" i="7"/>
  <c r="AF51" i="7" s="1"/>
  <c r="U33" i="7"/>
  <c r="AD33" i="7"/>
  <c r="AB33" i="7"/>
  <c r="AA26" i="7"/>
  <c r="S29" i="7"/>
  <c r="S26" i="7" s="1"/>
  <c r="O33" i="7"/>
  <c r="V29" i="7"/>
  <c r="V39" i="7" s="1"/>
  <c r="V50" i="7" s="1"/>
  <c r="V51" i="7" s="1"/>
  <c r="Q50" i="7"/>
  <c r="Q51" i="7" s="1"/>
  <c r="X33" i="7"/>
  <c r="AA28" i="7"/>
  <c r="Z28" i="7"/>
  <c r="AE39" i="7"/>
  <c r="AE50" i="7" s="1"/>
  <c r="AE51" i="7" s="1"/>
  <c r="N29" i="7"/>
  <c r="N26" i="7" s="1"/>
  <c r="AC28" i="7"/>
  <c r="Z39" i="7"/>
  <c r="Z50" i="7" s="1"/>
  <c r="Z51" i="7" s="1"/>
  <c r="U29" i="7"/>
  <c r="U39" i="7" s="1"/>
  <c r="U50" i="7" s="1"/>
  <c r="U51" i="7" s="1"/>
  <c r="R50" i="7"/>
  <c r="R51" i="7" s="1"/>
  <c r="AB26" i="7"/>
  <c r="O29" i="7"/>
  <c r="O26" i="7" s="1"/>
  <c r="P29" i="7"/>
  <c r="P26" i="7" s="1"/>
  <c r="AC50" i="7"/>
  <c r="AC51" i="7" s="1"/>
  <c r="AF28" i="7"/>
  <c r="AA50" i="7"/>
  <c r="AA51" i="7" s="1"/>
  <c r="R28" i="7"/>
  <c r="AE28" i="7"/>
  <c r="AB28" i="7"/>
  <c r="Y28" i="7"/>
  <c r="Y39" i="7"/>
  <c r="Y50" i="7" s="1"/>
  <c r="Y51" i="7" s="1"/>
  <c r="AD29" i="7"/>
  <c r="AD26" i="7" s="1"/>
  <c r="E41" i="10"/>
  <c r="F41" i="10" s="1"/>
  <c r="G41" i="10" s="1"/>
  <c r="H41" i="10" s="1"/>
  <c r="I41" i="10" s="1"/>
  <c r="J41" i="10" s="1"/>
  <c r="K41" i="10" s="1"/>
  <c r="L41" i="10" s="1"/>
  <c r="E44" i="10"/>
  <c r="F44" i="10" s="1"/>
  <c r="G44" i="10" s="1"/>
  <c r="H44" i="10" s="1"/>
  <c r="I44" i="10" s="1"/>
  <c r="J44" i="10" s="1"/>
  <c r="K44" i="10" s="1"/>
  <c r="L44" i="10" s="1"/>
  <c r="E42" i="10"/>
  <c r="F42" i="10" s="1"/>
  <c r="G42" i="10" s="1"/>
  <c r="H42" i="10" s="1"/>
  <c r="I42" i="10" s="1"/>
  <c r="J42" i="10" s="1"/>
  <c r="K42" i="10" s="1"/>
  <c r="L42" i="10" s="1"/>
  <c r="C37" i="10"/>
  <c r="E37" i="10" s="1"/>
  <c r="N46" i="10"/>
  <c r="N42" i="10"/>
  <c r="N38" i="10"/>
  <c r="N49" i="10"/>
  <c r="N40" i="10"/>
  <c r="N45" i="10"/>
  <c r="N47" i="10"/>
  <c r="N37" i="10"/>
  <c r="N48" i="10"/>
  <c r="N43" i="10"/>
  <c r="N44" i="10"/>
  <c r="N41" i="10"/>
  <c r="O34" i="10"/>
  <c r="M28" i="10"/>
  <c r="M29" i="10"/>
  <c r="B50" i="10"/>
  <c r="M33" i="10"/>
  <c r="C37" i="7"/>
  <c r="C45" i="7" l="1"/>
  <c r="C33" i="7" s="1"/>
  <c r="C46" i="7" s="1"/>
  <c r="P39" i="7"/>
  <c r="P50" i="7" s="1"/>
  <c r="P51" i="7" s="1"/>
  <c r="W26" i="7"/>
  <c r="X26" i="7"/>
  <c r="U26" i="7"/>
  <c r="AD39" i="7"/>
  <c r="AD50" i="7" s="1"/>
  <c r="AD51" i="7" s="1"/>
  <c r="N39" i="7"/>
  <c r="N50" i="7" s="1"/>
  <c r="N51" i="7" s="1"/>
  <c r="O39" i="7"/>
  <c r="O50" i="7" s="1"/>
  <c r="O51" i="7" s="1"/>
  <c r="S39" i="7"/>
  <c r="S50" i="7" s="1"/>
  <c r="S51" i="7" s="1"/>
  <c r="V26" i="7"/>
  <c r="C28" i="10"/>
  <c r="C45" i="10"/>
  <c r="C38" i="10"/>
  <c r="M26" i="10"/>
  <c r="M39" i="10"/>
  <c r="M50" i="10" s="1"/>
  <c r="M51" i="10" s="1"/>
  <c r="O46" i="10"/>
  <c r="O42" i="10"/>
  <c r="O38" i="10"/>
  <c r="O47" i="10"/>
  <c r="O43" i="10"/>
  <c r="O37" i="10"/>
  <c r="O48" i="10"/>
  <c r="P34" i="10"/>
  <c r="O44" i="10"/>
  <c r="O45" i="10"/>
  <c r="O49" i="10"/>
  <c r="O40" i="10"/>
  <c r="O41" i="10"/>
  <c r="N33" i="10"/>
  <c r="N28" i="10"/>
  <c r="N29" i="10"/>
  <c r="B60" i="10"/>
  <c r="B61" i="10" s="1"/>
  <c r="C38" i="7"/>
  <c r="C28" i="7"/>
  <c r="D40" i="7" s="1"/>
  <c r="C47" i="7"/>
  <c r="C29" i="7" l="1"/>
  <c r="C39" i="7" s="1"/>
  <c r="C53" i="7" s="1"/>
  <c r="C33" i="10"/>
  <c r="E45" i="10"/>
  <c r="C29" i="10"/>
  <c r="E38" i="10"/>
  <c r="O33" i="10"/>
  <c r="D28" i="10"/>
  <c r="N26" i="10"/>
  <c r="N39" i="10"/>
  <c r="N50" i="10" s="1"/>
  <c r="N51" i="10" s="1"/>
  <c r="P47" i="10"/>
  <c r="P43" i="10"/>
  <c r="P48" i="10"/>
  <c r="P45" i="10"/>
  <c r="P44" i="10"/>
  <c r="P42" i="10"/>
  <c r="Q34" i="10"/>
  <c r="P46" i="10"/>
  <c r="P37" i="10"/>
  <c r="P40" i="10"/>
  <c r="P41" i="10"/>
  <c r="P49" i="10"/>
  <c r="P38" i="10"/>
  <c r="O28" i="10"/>
  <c r="O29" i="10"/>
  <c r="D33" i="10"/>
  <c r="C50" i="7" l="1"/>
  <c r="C30" i="7"/>
  <c r="D37" i="7"/>
  <c r="C26" i="7"/>
  <c r="B50" i="7"/>
  <c r="C51" i="7"/>
  <c r="C52" i="7" s="1"/>
  <c r="C46" i="10"/>
  <c r="E46" i="10" s="1"/>
  <c r="C47" i="10"/>
  <c r="E47" i="10" s="1"/>
  <c r="C30" i="10"/>
  <c r="C26" i="10"/>
  <c r="C39" i="10"/>
  <c r="P28" i="10"/>
  <c r="P29" i="10"/>
  <c r="O26" i="10"/>
  <c r="O39" i="10"/>
  <c r="O50" i="10" s="1"/>
  <c r="O51" i="10" s="1"/>
  <c r="Q47" i="10"/>
  <c r="Q43" i="10"/>
  <c r="Q48" i="10"/>
  <c r="Q44" i="10"/>
  <c r="Q40" i="10"/>
  <c r="Q45" i="10"/>
  <c r="Q42" i="10"/>
  <c r="R34" i="10"/>
  <c r="Q41" i="10"/>
  <c r="Q46" i="10"/>
  <c r="Q49" i="10"/>
  <c r="Q38" i="10"/>
  <c r="Q37" i="10"/>
  <c r="D29" i="10"/>
  <c r="P33" i="10"/>
  <c r="B60" i="7" l="1"/>
  <c r="B61" i="7" s="1"/>
  <c r="D45" i="7"/>
  <c r="D33" i="7" s="1"/>
  <c r="D28" i="7"/>
  <c r="E40" i="7" s="1"/>
  <c r="D38" i="7"/>
  <c r="D29" i="7" s="1"/>
  <c r="E39" i="10"/>
  <c r="E50" i="10" s="1"/>
  <c r="E53" i="10" s="1"/>
  <c r="C50" i="10"/>
  <c r="C51" i="10" s="1"/>
  <c r="C52" i="10" s="1"/>
  <c r="C53" i="10"/>
  <c r="R48" i="10"/>
  <c r="R44" i="10"/>
  <c r="R40" i="10"/>
  <c r="R33" i="10" s="1"/>
  <c r="S34" i="10"/>
  <c r="R42" i="10"/>
  <c r="R38" i="10"/>
  <c r="R47" i="10"/>
  <c r="R49" i="10"/>
  <c r="R41" i="10"/>
  <c r="R45" i="10"/>
  <c r="R43" i="10"/>
  <c r="R46" i="10"/>
  <c r="R37" i="10"/>
  <c r="D26" i="10"/>
  <c r="D50" i="10"/>
  <c r="Q28" i="10"/>
  <c r="Q29" i="10"/>
  <c r="Q33" i="10"/>
  <c r="P26" i="10"/>
  <c r="P39" i="10"/>
  <c r="P50" i="10" s="1"/>
  <c r="P51" i="10" s="1"/>
  <c r="D26" i="7" l="1"/>
  <c r="E37" i="7"/>
  <c r="E45" i="7" s="1"/>
  <c r="E33" i="7" s="1"/>
  <c r="E47" i="7" s="1"/>
  <c r="D46" i="7"/>
  <c r="D47" i="7"/>
  <c r="D39" i="7"/>
  <c r="D51" i="10"/>
  <c r="D52" i="10" s="1"/>
  <c r="R29" i="10"/>
  <c r="R28" i="10"/>
  <c r="Q26" i="10"/>
  <c r="Q39" i="10"/>
  <c r="Q50" i="10" s="1"/>
  <c r="Q51" i="10" s="1"/>
  <c r="S48" i="10"/>
  <c r="S44" i="10"/>
  <c r="S40" i="10"/>
  <c r="T34" i="10"/>
  <c r="S49" i="10"/>
  <c r="S45" i="10"/>
  <c r="S41" i="10"/>
  <c r="S37" i="10"/>
  <c r="S38" i="10"/>
  <c r="S46" i="10"/>
  <c r="S47" i="10"/>
  <c r="S42" i="10"/>
  <c r="S43" i="10"/>
  <c r="E28" i="10"/>
  <c r="F40" i="10" s="1"/>
  <c r="E33" i="10"/>
  <c r="E38" i="7" l="1"/>
  <c r="E29" i="7" s="1"/>
  <c r="F37" i="7" s="1"/>
  <c r="F45" i="7" s="1"/>
  <c r="E28" i="7"/>
  <c r="F40" i="7" s="1"/>
  <c r="E46" i="7"/>
  <c r="D50" i="7"/>
  <c r="S33" i="10"/>
  <c r="U34" i="10"/>
  <c r="T49" i="10"/>
  <c r="T45" i="10"/>
  <c r="T41" i="10"/>
  <c r="T37" i="10"/>
  <c r="T46" i="10"/>
  <c r="T43" i="10"/>
  <c r="T47" i="10"/>
  <c r="T38" i="10"/>
  <c r="T44" i="10"/>
  <c r="T48" i="10"/>
  <c r="T42" i="10"/>
  <c r="T40" i="10"/>
  <c r="R26" i="10"/>
  <c r="R39" i="10"/>
  <c r="R50" i="10" s="1"/>
  <c r="R51" i="10" s="1"/>
  <c r="E29" i="10"/>
  <c r="S28" i="10"/>
  <c r="S29" i="10"/>
  <c r="F33" i="7" l="1"/>
  <c r="F46" i="7" s="1"/>
  <c r="E26" i="7"/>
  <c r="E39" i="7"/>
  <c r="E50" i="7" s="1"/>
  <c r="E53" i="7" s="1"/>
  <c r="D51" i="7"/>
  <c r="D52" i="7" s="1"/>
  <c r="T33" i="10"/>
  <c r="S26" i="10"/>
  <c r="S39" i="10"/>
  <c r="S50" i="10" s="1"/>
  <c r="S51" i="10" s="1"/>
  <c r="T29" i="10"/>
  <c r="T28" i="10"/>
  <c r="E26" i="10"/>
  <c r="F37" i="10"/>
  <c r="F45" i="10" s="1"/>
  <c r="F33" i="10" s="1"/>
  <c r="U49" i="10"/>
  <c r="U45" i="10"/>
  <c r="U41" i="10"/>
  <c r="U37" i="10"/>
  <c r="U46" i="10"/>
  <c r="U42" i="10"/>
  <c r="U38" i="10"/>
  <c r="U47" i="10"/>
  <c r="V34" i="10"/>
  <c r="U43" i="10"/>
  <c r="U44" i="10"/>
  <c r="U48" i="10"/>
  <c r="U40" i="10"/>
  <c r="F28" i="7"/>
  <c r="G40" i="7" s="1"/>
  <c r="F38" i="7"/>
  <c r="F29" i="7" s="1"/>
  <c r="F47" i="7" l="1"/>
  <c r="E51" i="7"/>
  <c r="E52" i="7" s="1"/>
  <c r="U33" i="10"/>
  <c r="F47" i="10"/>
  <c r="F46" i="10"/>
  <c r="F28" i="10"/>
  <c r="G40" i="10" s="1"/>
  <c r="F38" i="10"/>
  <c r="U29" i="10"/>
  <c r="U28" i="10"/>
  <c r="T26" i="10"/>
  <c r="T39" i="10"/>
  <c r="T50" i="10" s="1"/>
  <c r="T51" i="10" s="1"/>
  <c r="V46" i="10"/>
  <c r="V42" i="10"/>
  <c r="V38" i="10"/>
  <c r="V44" i="10"/>
  <c r="V49" i="10"/>
  <c r="V41" i="10"/>
  <c r="V43" i="10"/>
  <c r="V40" i="10"/>
  <c r="V47" i="10"/>
  <c r="W34" i="10"/>
  <c r="V37" i="10"/>
  <c r="V45" i="10"/>
  <c r="V48" i="10"/>
  <c r="E51" i="10"/>
  <c r="E52" i="10" s="1"/>
  <c r="G37" i="7"/>
  <c r="G45" i="7" s="1"/>
  <c r="G33" i="7" s="1"/>
  <c r="F26" i="7"/>
  <c r="F39" i="7"/>
  <c r="F50" i="7" l="1"/>
  <c r="U26" i="10"/>
  <c r="U39" i="10"/>
  <c r="U50" i="10" s="1"/>
  <c r="U51" i="10" s="1"/>
  <c r="V29" i="10"/>
  <c r="V28" i="10"/>
  <c r="W46" i="10"/>
  <c r="W42" i="10"/>
  <c r="W38" i="10"/>
  <c r="W47" i="10"/>
  <c r="W43" i="10"/>
  <c r="W41" i="10"/>
  <c r="W48" i="10"/>
  <c r="W37" i="10"/>
  <c r="W49" i="10"/>
  <c r="W40" i="10"/>
  <c r="W33" i="10" s="1"/>
  <c r="W44" i="10"/>
  <c r="X34" i="10"/>
  <c r="W45" i="10"/>
  <c r="F29" i="10"/>
  <c r="V33" i="10"/>
  <c r="G47" i="7"/>
  <c r="G46" i="7"/>
  <c r="G28" i="7"/>
  <c r="H40" i="7" s="1"/>
  <c r="G38" i="7"/>
  <c r="F53" i="7" l="1"/>
  <c r="F51" i="7"/>
  <c r="F52" i="7" s="1"/>
  <c r="W28" i="10"/>
  <c r="W29" i="10"/>
  <c r="F26" i="10"/>
  <c r="G37" i="10"/>
  <c r="F39" i="10"/>
  <c r="F50" i="10" s="1"/>
  <c r="G45" i="10"/>
  <c r="G33" i="10" s="1"/>
  <c r="V26" i="10"/>
  <c r="V39" i="10"/>
  <c r="V50" i="10" s="1"/>
  <c r="V51" i="10" s="1"/>
  <c r="X47" i="10"/>
  <c r="X43" i="10"/>
  <c r="X38" i="10"/>
  <c r="X45" i="10"/>
  <c r="X49" i="10"/>
  <c r="X40" i="10"/>
  <c r="X33" i="10" s="1"/>
  <c r="X48" i="10"/>
  <c r="X46" i="10"/>
  <c r="X37" i="10"/>
  <c r="X41" i="10"/>
  <c r="X44" i="10"/>
  <c r="Y34" i="10"/>
  <c r="X42" i="10"/>
  <c r="G29" i="7"/>
  <c r="G48" i="7"/>
  <c r="G49" i="7"/>
  <c r="G47" i="10" l="1"/>
  <c r="G46" i="10"/>
  <c r="Y47" i="10"/>
  <c r="Y43" i="10"/>
  <c r="Y48" i="10"/>
  <c r="Y44" i="10"/>
  <c r="Y40" i="10"/>
  <c r="Y49" i="10"/>
  <c r="Y42" i="10"/>
  <c r="Y46" i="10"/>
  <c r="Y37" i="10"/>
  <c r="Y45" i="10"/>
  <c r="Y38" i="10"/>
  <c r="Y41" i="10"/>
  <c r="Z34" i="10"/>
  <c r="F53" i="10"/>
  <c r="F51" i="10"/>
  <c r="F52" i="10" s="1"/>
  <c r="G28" i="10"/>
  <c r="H40" i="10" s="1"/>
  <c r="G38" i="10"/>
  <c r="G29" i="10" s="1"/>
  <c r="X28" i="10"/>
  <c r="X29" i="10"/>
  <c r="W26" i="10"/>
  <c r="W39" i="10"/>
  <c r="W50" i="10" s="1"/>
  <c r="W51" i="10" s="1"/>
  <c r="H37" i="7"/>
  <c r="G39" i="7"/>
  <c r="G50" i="7" s="1"/>
  <c r="G26" i="7"/>
  <c r="G53" i="7" l="1"/>
  <c r="Y33" i="10"/>
  <c r="G26" i="10"/>
  <c r="H37" i="10"/>
  <c r="G39" i="10"/>
  <c r="G50" i="10" s="1"/>
  <c r="H45" i="10"/>
  <c r="H33" i="10" s="1"/>
  <c r="Z48" i="10"/>
  <c r="Z44" i="10"/>
  <c r="Z40" i="10"/>
  <c r="AA34" i="10"/>
  <c r="Z46" i="10"/>
  <c r="Z37" i="10"/>
  <c r="Z42" i="10"/>
  <c r="Z43" i="10"/>
  <c r="Z45" i="10"/>
  <c r="Z49" i="10"/>
  <c r="Z47" i="10"/>
  <c r="Z38" i="10"/>
  <c r="Z41" i="10"/>
  <c r="Y28" i="10"/>
  <c r="Y29" i="10"/>
  <c r="X26" i="10"/>
  <c r="X39" i="10"/>
  <c r="X50" i="10" s="1"/>
  <c r="X51" i="10" s="1"/>
  <c r="H38" i="7"/>
  <c r="H29" i="7" s="1"/>
  <c r="H28" i="7"/>
  <c r="I40" i="7" s="1"/>
  <c r="H45" i="7"/>
  <c r="H33" i="7" s="1"/>
  <c r="G51" i="7"/>
  <c r="G52" i="7" s="1"/>
  <c r="Y26" i="10" l="1"/>
  <c r="Y39" i="10"/>
  <c r="Y50" i="10" s="1"/>
  <c r="Y51" i="10" s="1"/>
  <c r="G53" i="10"/>
  <c r="G51" i="10"/>
  <c r="G52" i="10" s="1"/>
  <c r="H47" i="10"/>
  <c r="H46" i="10"/>
  <c r="Z29" i="10"/>
  <c r="Z28" i="10"/>
  <c r="AA48" i="10"/>
  <c r="AA44" i="10"/>
  <c r="AA40" i="10"/>
  <c r="AB34" i="10"/>
  <c r="AA49" i="10"/>
  <c r="AA45" i="10"/>
  <c r="AA41" i="10"/>
  <c r="AA37" i="10"/>
  <c r="AA43" i="10"/>
  <c r="AA42" i="10"/>
  <c r="AA46" i="10"/>
  <c r="AA47" i="10"/>
  <c r="AA38" i="10"/>
  <c r="H28" i="10"/>
  <c r="I40" i="10" s="1"/>
  <c r="H38" i="10"/>
  <c r="H29" i="10" s="1"/>
  <c r="Z33" i="10"/>
  <c r="H46" i="7"/>
  <c r="H47" i="7"/>
  <c r="I37" i="7"/>
  <c r="I45" i="7" s="1"/>
  <c r="I33" i="7" s="1"/>
  <c r="H39" i="7"/>
  <c r="H26" i="7"/>
  <c r="H26" i="10" l="1"/>
  <c r="H39" i="10"/>
  <c r="I37" i="10"/>
  <c r="Z39" i="10"/>
  <c r="Z50" i="10" s="1"/>
  <c r="Z51" i="10" s="1"/>
  <c r="Z26" i="10"/>
  <c r="AC34" i="10"/>
  <c r="AB49" i="10"/>
  <c r="AB45" i="10"/>
  <c r="AB41" i="10"/>
  <c r="AB37" i="10"/>
  <c r="AB40" i="10"/>
  <c r="AB42" i="10"/>
  <c r="AB48" i="10"/>
  <c r="AB47" i="10"/>
  <c r="AB43" i="10"/>
  <c r="AB46" i="10"/>
  <c r="AB44" i="10"/>
  <c r="AB38" i="10"/>
  <c r="AA33" i="10"/>
  <c r="H50" i="10"/>
  <c r="AA28" i="10"/>
  <c r="AA29" i="10"/>
  <c r="H50" i="7"/>
  <c r="I47" i="7"/>
  <c r="I46" i="7"/>
  <c r="I38" i="7"/>
  <c r="I29" i="7" s="1"/>
  <c r="I28" i="7"/>
  <c r="J40" i="7" s="1"/>
  <c r="H53" i="7" l="1"/>
  <c r="AB33" i="10"/>
  <c r="AB28" i="10"/>
  <c r="AB29" i="10"/>
  <c r="I28" i="10"/>
  <c r="J40" i="10" s="1"/>
  <c r="I38" i="10"/>
  <c r="I29" i="10" s="1"/>
  <c r="AA26" i="10"/>
  <c r="AA39" i="10"/>
  <c r="AA50" i="10" s="1"/>
  <c r="AA51" i="10" s="1"/>
  <c r="I45" i="10"/>
  <c r="I33" i="10" s="1"/>
  <c r="AC49" i="10"/>
  <c r="AC45" i="10"/>
  <c r="AC41" i="10"/>
  <c r="AC37" i="10"/>
  <c r="AC46" i="10"/>
  <c r="AC42" i="10"/>
  <c r="AC38" i="10"/>
  <c r="AC47" i="10"/>
  <c r="AC44" i="10"/>
  <c r="AC48" i="10"/>
  <c r="AD34" i="10"/>
  <c r="AC40" i="10"/>
  <c r="AC33" i="10" s="1"/>
  <c r="AC43" i="10"/>
  <c r="H51" i="10"/>
  <c r="H52" i="10" s="1"/>
  <c r="H53" i="10"/>
  <c r="H51" i="7"/>
  <c r="H52" i="7" s="1"/>
  <c r="I39" i="7"/>
  <c r="I50" i="7" s="1"/>
  <c r="I53" i="7" s="1"/>
  <c r="J37" i="7"/>
  <c r="J45" i="7" s="1"/>
  <c r="J33" i="7" s="1"/>
  <c r="I26" i="7"/>
  <c r="I26" i="10" l="1"/>
  <c r="J37" i="10"/>
  <c r="I39" i="10"/>
  <c r="AC28" i="10"/>
  <c r="AC29" i="10"/>
  <c r="AD46" i="10"/>
  <c r="AD42" i="10"/>
  <c r="AD38" i="10"/>
  <c r="AD48" i="10"/>
  <c r="AD45" i="10"/>
  <c r="AE34" i="10"/>
  <c r="AD47" i="10"/>
  <c r="AD44" i="10"/>
  <c r="AD37" i="10"/>
  <c r="AD41" i="10"/>
  <c r="AD49" i="10"/>
  <c r="AD43" i="10"/>
  <c r="AD40" i="10"/>
  <c r="AD33" i="10" s="1"/>
  <c r="AB26" i="10"/>
  <c r="AB39" i="10"/>
  <c r="AB50" i="10" s="1"/>
  <c r="AB51" i="10" s="1"/>
  <c r="I47" i="10"/>
  <c r="I46" i="10"/>
  <c r="J47" i="7"/>
  <c r="J46" i="7"/>
  <c r="J38" i="7"/>
  <c r="J29" i="7" s="1"/>
  <c r="J28" i="7"/>
  <c r="K40" i="7" s="1"/>
  <c r="I51" i="7"/>
  <c r="I52" i="7" s="1"/>
  <c r="I50" i="10" l="1"/>
  <c r="I51" i="10" s="1"/>
  <c r="I52" i="10" s="1"/>
  <c r="AC26" i="10"/>
  <c r="AC39" i="10"/>
  <c r="AC50" i="10" s="1"/>
  <c r="AC51" i="10" s="1"/>
  <c r="AE46" i="10"/>
  <c r="AE42" i="10"/>
  <c r="AE38" i="10"/>
  <c r="AE47" i="10"/>
  <c r="AE43" i="10"/>
  <c r="AE45" i="10"/>
  <c r="AF34" i="10"/>
  <c r="AE44" i="10"/>
  <c r="AE41" i="10"/>
  <c r="AE48" i="10"/>
  <c r="AE49" i="10"/>
  <c r="AE37" i="10"/>
  <c r="AE40" i="10"/>
  <c r="J28" i="10"/>
  <c r="K40" i="10" s="1"/>
  <c r="J38" i="10"/>
  <c r="J29" i="10" s="1"/>
  <c r="AD28" i="10"/>
  <c r="AD29" i="10"/>
  <c r="J45" i="10"/>
  <c r="J33" i="10" s="1"/>
  <c r="K37" i="7"/>
  <c r="J26" i="7"/>
  <c r="J39" i="7"/>
  <c r="J50" i="7" s="1"/>
  <c r="J53" i="7" s="1"/>
  <c r="I53" i="10" l="1"/>
  <c r="J26" i="10"/>
  <c r="J39" i="10"/>
  <c r="K37" i="10"/>
  <c r="K45" i="10"/>
  <c r="K33" i="10"/>
  <c r="AF47" i="10"/>
  <c r="AF43" i="10"/>
  <c r="AF42" i="10"/>
  <c r="AF40" i="10"/>
  <c r="AF44" i="10"/>
  <c r="AF41" i="10"/>
  <c r="AF38" i="10"/>
  <c r="AF49" i="10"/>
  <c r="AF45" i="10"/>
  <c r="AF37" i="10"/>
  <c r="AF48" i="10"/>
  <c r="AF46" i="10"/>
  <c r="J47" i="10"/>
  <c r="J46" i="10"/>
  <c r="J50" i="10" s="1"/>
  <c r="AE33" i="10"/>
  <c r="AD26" i="10"/>
  <c r="AD39" i="10"/>
  <c r="AD50" i="10" s="1"/>
  <c r="AD51" i="10" s="1"/>
  <c r="AE28" i="10"/>
  <c r="AE29" i="10"/>
  <c r="J51" i="7"/>
  <c r="J52" i="7" s="1"/>
  <c r="K38" i="7"/>
  <c r="K29" i="7" s="1"/>
  <c r="K28" i="7"/>
  <c r="L40" i="7" s="1"/>
  <c r="K45" i="7"/>
  <c r="K33" i="7" s="1"/>
  <c r="AF33" i="10" l="1"/>
  <c r="J51" i="10"/>
  <c r="J52" i="10" s="1"/>
  <c r="J53" i="10"/>
  <c r="AE26" i="10"/>
  <c r="AE39" i="10"/>
  <c r="AE50" i="10" s="1"/>
  <c r="AE51" i="10" s="1"/>
  <c r="K28" i="10"/>
  <c r="L40" i="10" s="1"/>
  <c r="K38" i="10"/>
  <c r="K29" i="10" s="1"/>
  <c r="AF28" i="10"/>
  <c r="AF29" i="10"/>
  <c r="K47" i="10"/>
  <c r="K46" i="10"/>
  <c r="L37" i="7"/>
  <c r="K39" i="7"/>
  <c r="K26" i="7"/>
  <c r="K46" i="7"/>
  <c r="K47" i="7"/>
  <c r="K26" i="10" l="1"/>
  <c r="K39" i="10"/>
  <c r="L37" i="10"/>
  <c r="L45" i="10"/>
  <c r="L33" i="10" s="1"/>
  <c r="L47" i="10" s="1"/>
  <c r="K50" i="10"/>
  <c r="AF26" i="10"/>
  <c r="AF39" i="10"/>
  <c r="AF50" i="10" s="1"/>
  <c r="K50" i="7"/>
  <c r="K53" i="7" s="1"/>
  <c r="L38" i="7"/>
  <c r="L29" i="7" s="1"/>
  <c r="B82" i="7" s="1" a="1"/>
  <c r="B82" i="7" s="1"/>
  <c r="L28" i="7"/>
  <c r="L45" i="7"/>
  <c r="L33" i="7" s="1"/>
  <c r="L47" i="7" s="1"/>
  <c r="L28" i="10" l="1"/>
  <c r="L38" i="10"/>
  <c r="AF51" i="10"/>
  <c r="K53" i="10"/>
  <c r="K51" i="10"/>
  <c r="K52" i="10" s="1"/>
  <c r="L39" i="7"/>
  <c r="L26" i="7"/>
  <c r="L48" i="7"/>
  <c r="L49" i="7"/>
  <c r="K51" i="7"/>
  <c r="K52" i="7" s="1"/>
  <c r="L49" i="10" l="1"/>
  <c r="L29" i="10"/>
  <c r="L50" i="7"/>
  <c r="B75" i="7" s="1"/>
  <c r="L53" i="7" l="1"/>
  <c r="B76" i="7"/>
  <c r="B80" i="7" s="1"/>
  <c r="L26" i="10"/>
  <c r="L39" i="10"/>
  <c r="B82" i="10" a="1"/>
  <c r="B82" i="10" s="1"/>
  <c r="L48" i="10"/>
  <c r="L51" i="7"/>
  <c r="L52" i="7" s="1"/>
  <c r="B52" i="7"/>
  <c r="B81" i="7" s="1"/>
  <c r="B83" i="7" s="1"/>
  <c r="B63" i="7"/>
  <c r="B69" i="7" l="1"/>
  <c r="B70" i="7" s="1"/>
  <c r="H1" i="7" s="1"/>
  <c r="B84" i="7"/>
  <c r="H2" i="7" s="1"/>
  <c r="L50" i="10"/>
  <c r="L53" i="10" l="1"/>
  <c r="L51" i="10"/>
  <c r="L52" i="10" s="1"/>
  <c r="B63" i="10"/>
  <c r="B64" i="10" s="1"/>
  <c r="B69" i="10" s="1"/>
  <c r="B70" i="10" s="1"/>
  <c r="H1" i="10" s="1"/>
  <c r="B75" i="10"/>
  <c r="B76" i="10" s="1"/>
  <c r="B80" i="10" s="1"/>
  <c r="B52" i="10"/>
  <c r="B81" i="10" s="1"/>
  <c r="B83" i="10" s="1"/>
  <c r="H3" i="7"/>
  <c r="E60" i="7" s="1"/>
  <c r="B85" i="7"/>
  <c r="B84" i="10" l="1"/>
  <c r="H2" i="10" l="1"/>
  <c r="H3" i="10" s="1"/>
  <c r="E60" i="10" s="1"/>
  <c r="B8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Clayton</author>
  </authors>
  <commentList>
    <comment ref="D3" authorId="0" shapeId="0" xr:uid="{2F336E7D-C417-4E18-A6C8-79AB06A92EC8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Value must be one of the values in th emontly rental cost column in the internal rate of return of buying a house vrsus equivalent
</t>
        </r>
        <r>
          <rPr>
            <sz val="9"/>
            <color rgb="FF000000"/>
            <rFont val="Tahoma"/>
            <family val="2"/>
          </rPr>
          <t xml:space="preserve">table </t>
        </r>
      </text>
    </comment>
    <comment ref="C50" authorId="0" shapeId="0" xr:uid="{B7A5C552-5591-4DDD-95BD-7F6C816D9F76}">
      <text>
        <r>
          <rPr>
            <b/>
            <sz val="9"/>
            <color rgb="FF000000"/>
            <rFont val="Tahoma"/>
            <family val="2"/>
          </rPr>
          <t xml:space="preserve">Jordan Clayton
</t>
        </r>
        <r>
          <rPr>
            <sz val="9"/>
            <color rgb="FF000000"/>
            <rFont val="Tahoma"/>
            <family val="2"/>
          </rPr>
          <t xml:space="preserve">More expensive to rent if (+)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More expensive to own if (-)</t>
        </r>
      </text>
    </comment>
    <comment ref="B59" authorId="0" shapeId="0" xr:uid="{CBDB8F98-91DB-4232-99C6-B9C7912AF5FA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Comparable stock market ROI of downpayment + closing costs </t>
        </r>
      </text>
    </comment>
    <comment ref="B60" authorId="0" shapeId="0" xr:uid="{E1AB34A9-694F-4985-AD03-697EDFF9D226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Future value of downpayment + closing costs after 10 yrs invested instead of purchasing house</t>
        </r>
      </text>
    </comment>
    <comment ref="B63" authorId="0" shapeId="0" xr:uid="{10813D58-56DD-4364-B321-E91D9A423AC7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value is negative that means that it is $ that could have been saved owning (More expensive to rent vs own)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value is (+) it will be replaced with 0 to be conservative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=-(AVERAGEIF($B$47:$AF$47,"&lt;&gt;0")) Negative sign in front of rental equation because this average is the diff between owning and renting. So, if - then it is less expensive to own and vica versa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64" authorId="0" shapeId="0" xr:uid="{D2BECAD9-8A8D-418B-9320-2DD95F02BE80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Money invested every year while renting instead of buying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-((IF(B97&gt;0,-(AVERAGEIF($B$47:$AF$47,"&lt;&gt;0")),0))+B96)</t>
        </r>
      </text>
    </comment>
    <comment ref="B70" authorId="0" shapeId="0" xr:uid="{F9AF3427-7059-4B89-98CA-DB3A13F05101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gross if rent instead of buy </t>
        </r>
      </text>
    </comment>
    <comment ref="B75" authorId="0" shapeId="0" xr:uid="{F1ED20C1-9E6D-4ABC-AC04-DEA800B0DEFE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value is positive that means that it is $ saved owning (More expensive to rent vs own)</t>
        </r>
      </text>
    </comment>
    <comment ref="B76" authorId="0" shapeId="0" xr:uid="{70EEEBFA-A2CF-4A96-8691-5A122E144E9C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Money invested every year while renting instead of buying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-((IF(B97&gt;0,-(AVERAGEIF($B$47:$AF$47,"&lt;&gt;0")),0))+B96)</t>
        </r>
      </text>
    </comment>
    <comment ref="B98" authorId="0" shapeId="0" xr:uid="{322CF0C4-DF0F-42F0-A1BA-5A7F3397D66C}">
      <text>
        <r>
          <rPr>
            <b/>
            <sz val="9"/>
            <color indexed="81"/>
            <rFont val="Tahoma"/>
            <family val="2"/>
          </rPr>
          <t>Jordan Clayton:</t>
        </r>
        <r>
          <rPr>
            <sz val="9"/>
            <color indexed="81"/>
            <rFont val="Tahoma"/>
            <family val="2"/>
          </rPr>
          <t xml:space="preserve">
Comparable stock market ROI of downpayment + closing costs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Clayton</author>
  </authors>
  <commentList>
    <comment ref="D3" authorId="0" shapeId="0" xr:uid="{98E3599C-D998-FF4C-8CC8-845607A6F194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Value must be one of the values in th emontly rental cost column in the internal rate of return of buying a house vrsus equivalent
</t>
        </r>
        <r>
          <rPr>
            <sz val="9"/>
            <color rgb="FF000000"/>
            <rFont val="Tahoma"/>
            <family val="2"/>
          </rPr>
          <t xml:space="preserve">table </t>
        </r>
      </text>
    </comment>
    <comment ref="C50" authorId="0" shapeId="0" xr:uid="{0D8AF3B7-4309-0D4C-A576-D3B1E029737B}">
      <text>
        <r>
          <rPr>
            <b/>
            <sz val="9"/>
            <color rgb="FF000000"/>
            <rFont val="Tahoma"/>
            <family val="2"/>
          </rPr>
          <t xml:space="preserve">Jordan Clayton
</t>
        </r>
        <r>
          <rPr>
            <sz val="9"/>
            <color rgb="FF000000"/>
            <rFont val="Tahoma"/>
            <family val="2"/>
          </rPr>
          <t xml:space="preserve">More expensive to rent if (+)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More expensive to own if (-)</t>
        </r>
      </text>
    </comment>
    <comment ref="B59" authorId="0" shapeId="0" xr:uid="{7D9481CA-E634-6944-8DE1-F62827A3A212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Comparable stock market ROI of downpayment + closing costs </t>
        </r>
      </text>
    </comment>
    <comment ref="B60" authorId="0" shapeId="0" xr:uid="{71DFE40F-95C9-BF43-8321-FE220F9C009C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Future value of downpayment + closing costs after 10 yrs invested instead of purchasing house</t>
        </r>
      </text>
    </comment>
    <comment ref="B63" authorId="0" shapeId="0" xr:uid="{61DF0DB0-9337-9847-9457-A596906C97E9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value is negative that means that it is $ that could have been saved owning (More expensive to rent vs own)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value is (+) it will be replaced with 0 to be conservative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=-(AVERAGEIF($B$47:$AF$47,"&lt;&gt;0")) Negative sign in front of rental equation because this average is the diff between owning and renting. So, if - then it is less expensive to own and vica versa 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64" authorId="0" shapeId="0" xr:uid="{36D57788-0369-C041-ADA1-3CC4E294DD3F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Money invested every year while renting instead of buying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-((IF(B97&gt;0,-(AVERAGEIF($B$47:$AF$47,"&lt;&gt;0")),0))+B96)</t>
        </r>
      </text>
    </comment>
    <comment ref="B70" authorId="0" shapeId="0" xr:uid="{7ABDA5DA-A405-CA40-B55E-3B3D6D6A71B2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gross if rent instead of buy </t>
        </r>
      </text>
    </comment>
    <comment ref="B75" authorId="0" shapeId="0" xr:uid="{2A09A9B5-3BAD-0D4C-8240-4A6871761D7B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value is positive that means that it is $ saved owning (More expensive to rent vs own)</t>
        </r>
      </text>
    </comment>
    <comment ref="B76" authorId="0" shapeId="0" xr:uid="{7645B6CD-C12F-404E-9007-93B90CD54E1A}">
      <text>
        <r>
          <rPr>
            <b/>
            <sz val="9"/>
            <color rgb="FF000000"/>
            <rFont val="Tahoma"/>
            <family val="2"/>
          </rPr>
          <t>Jordan Clayton: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Money invested every year while renting instead of buying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-((IF(B97&gt;0,-(AVERAGEIF($B$47:$AF$47,"&lt;&gt;0")),0))+B96)</t>
        </r>
      </text>
    </comment>
    <comment ref="B98" authorId="0" shapeId="0" xr:uid="{12D05DE0-CAC9-354C-8F38-245AB18B2848}">
      <text>
        <r>
          <rPr>
            <b/>
            <sz val="9"/>
            <color indexed="81"/>
            <rFont val="Tahoma"/>
            <family val="2"/>
          </rPr>
          <t>Jordan Clayton:</t>
        </r>
        <r>
          <rPr>
            <sz val="9"/>
            <color indexed="81"/>
            <rFont val="Tahoma"/>
            <family val="2"/>
          </rPr>
          <t xml:space="preserve">
Comparable stock market ROI of downpayment + closing costs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<sst xmlns="http://schemas.openxmlformats.org/spreadsheetml/2006/main" count="222" uniqueCount="122">
  <si>
    <t xml:space="preserve">Buy or Rent a House?  </t>
  </si>
  <si>
    <t>Summary</t>
  </si>
  <si>
    <t>Red box around single cell = manual input</t>
  </si>
  <si>
    <t>Yellow = important or frequently changed</t>
  </si>
  <si>
    <t>Diff</t>
  </si>
  <si>
    <t>Inputs and Assumptions</t>
  </si>
  <si>
    <t>Costs of homeownership:</t>
  </si>
  <si>
    <t>2019 TCJA Inputs</t>
  </si>
  <si>
    <t>Home purchase price</t>
  </si>
  <si>
    <t>Gross Income</t>
  </si>
  <si>
    <t>Percentage down payment</t>
  </si>
  <si>
    <t>Avg. State&amp;Local tax rate</t>
  </si>
  <si>
    <t>Purchase closing costs</t>
  </si>
  <si>
    <t>Other tax deductions</t>
  </si>
  <si>
    <t>Mortgage rate</t>
  </si>
  <si>
    <t>Married?</t>
  </si>
  <si>
    <t>N</t>
  </si>
  <si>
    <t>Property tax rate</t>
  </si>
  <si>
    <t>Home insurance cost/year</t>
  </si>
  <si>
    <t>TCJA Calculations</t>
  </si>
  <si>
    <t xml:space="preserve">Maintenance and other costs/year </t>
  </si>
  <si>
    <t>S&amp;L Tax</t>
  </si>
  <si>
    <t>Mortgage Insurance/year If down payment &lt; 20%</t>
  </si>
  <si>
    <t>Standard deduction</t>
  </si>
  <si>
    <t>Benefits of homeownership:</t>
  </si>
  <si>
    <t>Monthly rent saved</t>
  </si>
  <si>
    <t>Max S&amp;L deduction</t>
  </si>
  <si>
    <t>Marginal income tax rate</t>
  </si>
  <si>
    <t>Avg. annual home price appreciation</t>
  </si>
  <si>
    <t>Other Inputs</t>
  </si>
  <si>
    <t>Inflation</t>
  </si>
  <si>
    <t>Time spent in the house (years)</t>
  </si>
  <si>
    <t>Sale closing costs</t>
  </si>
  <si>
    <t xml:space="preserve">House value and mortgage schedule (Years) </t>
  </si>
  <si>
    <t>Home value</t>
  </si>
  <si>
    <t>Mortgage Balance</t>
  </si>
  <si>
    <t>30Y mortgage annual payment</t>
  </si>
  <si>
    <t>Total Deductions</t>
  </si>
  <si>
    <t>Year</t>
  </si>
  <si>
    <t>Down payment</t>
  </si>
  <si>
    <t>Mortgage interest paid</t>
  </si>
  <si>
    <t>Mortgage principal paid</t>
  </si>
  <si>
    <t>Mortgage Insurance paid</t>
  </si>
  <si>
    <t>Property tax paid</t>
  </si>
  <si>
    <t>Home insurance paid</t>
  </si>
  <si>
    <t>Maintenance and other costs</t>
  </si>
  <si>
    <t>Annual rent saved (with inflation)</t>
  </si>
  <si>
    <t>Mortgage interest tax deduction</t>
  </si>
  <si>
    <t>(Unusable mortgage interest deduction)</t>
  </si>
  <si>
    <t>Property tax deduction</t>
  </si>
  <si>
    <t>Gain on home sale</t>
  </si>
  <si>
    <t>Closing costs</t>
  </si>
  <si>
    <t>Sum of Cash Flows</t>
  </si>
  <si>
    <t xml:space="preserve">Cost of Owning </t>
  </si>
  <si>
    <t>Internal Rate of Return IRR</t>
  </si>
  <si>
    <t>Lump Sum FV of $ would have been spent on buying house</t>
  </si>
  <si>
    <t>Lump Sum  FV %</t>
  </si>
  <si>
    <t>Net Profit</t>
  </si>
  <si>
    <t>Annual Investment</t>
  </si>
  <si>
    <t xml:space="preserve">Avg $ Saved While Renting </t>
  </si>
  <si>
    <t xml:space="preserve">Annual Investment + $ Saved Renting </t>
  </si>
  <si>
    <t>Interest rate</t>
  </si>
  <si>
    <t>Periods</t>
  </si>
  <si>
    <t xml:space="preserve">FV of reoccurring investments while renting </t>
  </si>
  <si>
    <t xml:space="preserve">FV of Annual Investments </t>
  </si>
  <si>
    <t>Downpayment + closing costs + fv of diff between rent and housing costs</t>
  </si>
  <si>
    <t xml:space="preserve">FV of reoccurring investments + house value while owning  </t>
  </si>
  <si>
    <t>Avg $ Saved While Owning</t>
  </si>
  <si>
    <t xml:space="preserve">Annual Invest - $ Invested in House </t>
  </si>
  <si>
    <t>Net Profit On Home</t>
  </si>
  <si>
    <t xml:space="preserve">Renting amount if rented spare room for $1k for 3 yrs </t>
  </si>
  <si>
    <t xml:space="preserve">Cost of Home with Interest </t>
  </si>
  <si>
    <t>FV%</t>
  </si>
  <si>
    <t>Purchase Price of Home + Mortgage Interest</t>
  </si>
  <si>
    <t>https://spreadsheetsolving.com/tag/buy-vs-rent-xls/</t>
  </si>
  <si>
    <t xml:space="preserve">Future Value (FV) of net investment calculator </t>
  </si>
  <si>
    <t xml:space="preserve">Amounts </t>
  </si>
  <si>
    <t xml:space="preserve">Checking </t>
  </si>
  <si>
    <t>Svngs</t>
  </si>
  <si>
    <t>401K</t>
  </si>
  <si>
    <t>Markets</t>
  </si>
  <si>
    <t>Metals</t>
  </si>
  <si>
    <t>Options</t>
  </si>
  <si>
    <t>Present Value (PV) of Investements</t>
  </si>
  <si>
    <t>Periods (yrs)</t>
  </si>
  <si>
    <t>FV %</t>
  </si>
  <si>
    <t>$ Gain</t>
  </si>
  <si>
    <t>Lump Sum  FV $</t>
  </si>
  <si>
    <t>built in 90s or re modeled in 90s?</t>
  </si>
  <si>
    <t>loud sirens?</t>
  </si>
  <si>
    <t xml:space="preserve">loud train noise? </t>
  </si>
  <si>
    <t>crawl space? where is the piping?</t>
  </si>
  <si>
    <t>are there other homes in the neighborhood which are being torn down and being built new? gentrification?</t>
  </si>
  <si>
    <t>any flooding? any mold ever?</t>
  </si>
  <si>
    <t>any electrical outlets which don't work?</t>
  </si>
  <si>
    <t>any problems with drainage? all the faucets have good pressure - no sputtering?</t>
  </si>
  <si>
    <t>real wood or laminate?</t>
  </si>
  <si>
    <t>the zillow shows hurricane impact windows - confirm this. Also, are there shutters for the sliding door?</t>
  </si>
  <si>
    <t>how will the crime/safety of the neighborhood impact our car insurance premiums?</t>
  </si>
  <si>
    <t xml:space="preserve">80-100/month for pool service </t>
  </si>
  <si>
    <t>&lt;-dang</t>
  </si>
  <si>
    <t xml:space="preserve">if do self chem cost </t>
  </si>
  <si>
    <t xml:space="preserve">im talkking to pierr right now. He has a pool </t>
  </si>
  <si>
    <t xml:space="preserve">$25/ month if do it your self </t>
  </si>
  <si>
    <t>&lt;- my colleague says it is about $100 per month to do it yourself with the extra cost of electricity to run the pool cleaning robot and to buy the chems</t>
  </si>
  <si>
    <t xml:space="preserve">8 - 10 hour pump cycle </t>
  </si>
  <si>
    <t xml:space="preserve">pool filter replace one a year $50 </t>
  </si>
  <si>
    <t>During the home inspection we need to:</t>
  </si>
  <si>
    <t>Get a pool company to inspect the pool, water pump, anything that could break or needs replacement/upgrades.</t>
  </si>
  <si>
    <t>Get quotes for the homeowner's insurance from an insurance company. Ask if the hurricane impact windows and shutters will bring down the windstorm insurance premium</t>
  </si>
  <si>
    <t>Drive through the night a few times in the neighborhood. Should be safe enough at night for Joren to park his Tesla outside also</t>
  </si>
  <si>
    <t xml:space="preserve">Mortage Balance/Loan Amount </t>
  </si>
  <si>
    <t>Add fema zones and flood/hurricane insurance data</t>
  </si>
  <si>
    <t># of Rental Units</t>
  </si>
  <si>
    <t xml:space="preserve">Total Expected Rent </t>
  </si>
  <si>
    <t>Rent Received</t>
  </si>
  <si>
    <t>NO HOUSE</t>
  </si>
  <si>
    <t>HOUSE</t>
  </si>
  <si>
    <t xml:space="preserve">Expected Rent Per Unit </t>
  </si>
  <si>
    <t>Total Monthly Rent Received</t>
  </si>
  <si>
    <t>Purchase Price Vs. Rental Income Needed Matrix</t>
  </si>
  <si>
    <t>$ not going to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</si>
</sst>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  <numFmt numFmtId="166" formatCode="_(* #,##0_);_(* \(#,##0\);_(* &quot;-&quot;??_);_(@_)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CCFF"/>
        <bgColor indexed="64"/>
      </patternFill>
    </fill>
    <fill>
      <patternFill patternType="darkUp">
        <fgColor theme="8" tint="0.79998168889431442"/>
        <bgColor indexed="65"/>
      </patternFill>
    </fill>
    <fill>
      <patternFill patternType="darkUp">
        <fgColor theme="8" tint="0.79995117038483843"/>
        <bgColor indexed="65"/>
      </patternFill>
    </fill>
    <fill>
      <patternFill patternType="lightUp">
        <fgColor theme="8" tint="0.79995117038483843"/>
        <bgColor indexed="65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darkUp">
        <fgColor theme="8" tint="0.79995117038483843"/>
        <bgColor theme="6" tint="0.79998168889431442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indexed="64"/>
      </top>
      <bottom style="medium">
        <color rgb="FFFF000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6" fillId="9" borderId="15" applyNumberFormat="0" applyAlignment="0" applyProtection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2" borderId="0" xfId="0" applyFill="1"/>
    <xf numFmtId="0" fontId="1" fillId="3" borderId="0" xfId="0" applyFont="1" applyFill="1"/>
    <xf numFmtId="10" fontId="1" fillId="3" borderId="0" xfId="0" applyNumberFormat="1" applyFont="1" applyFill="1"/>
    <xf numFmtId="9" fontId="0" fillId="0" borderId="0" xfId="1" applyFont="1"/>
    <xf numFmtId="8" fontId="0" fillId="0" borderId="0" xfId="0" applyNumberFormat="1"/>
    <xf numFmtId="166" fontId="0" fillId="0" borderId="0" xfId="0" applyNumberFormat="1"/>
    <xf numFmtId="44" fontId="0" fillId="0" borderId="0" xfId="3" applyFont="1"/>
    <xf numFmtId="44" fontId="0" fillId="0" borderId="0" xfId="0" applyNumberFormat="1"/>
    <xf numFmtId="167" fontId="0" fillId="0" borderId="0" xfId="0" applyNumberFormat="1"/>
    <xf numFmtId="0" fontId="8" fillId="0" borderId="1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6" fontId="0" fillId="0" borderId="5" xfId="0" applyNumberFormat="1" applyBorder="1" applyAlignment="1">
      <alignment horizontal="right"/>
    </xf>
    <xf numFmtId="0" fontId="1" fillId="0" borderId="4" xfId="0" applyFont="1" applyBorder="1"/>
    <xf numFmtId="0" fontId="0" fillId="0" borderId="4" xfId="0" applyBorder="1" applyAlignment="1">
      <alignment horizontal="left" indent="1"/>
    </xf>
    <xf numFmtId="0" fontId="0" fillId="0" borderId="9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44" fontId="0" fillId="0" borderId="0" xfId="3" applyFont="1" applyFill="1" applyBorder="1"/>
    <xf numFmtId="164" fontId="0" fillId="0" borderId="5" xfId="0" applyNumberFormat="1" applyBorder="1"/>
    <xf numFmtId="0" fontId="12" fillId="0" borderId="0" xfId="4"/>
    <xf numFmtId="44" fontId="7" fillId="0" borderId="0" xfId="3" applyFont="1" applyFill="1" applyBorder="1"/>
    <xf numFmtId="166" fontId="7" fillId="0" borderId="0" xfId="2" applyNumberFormat="1" applyFont="1" applyFill="1" applyBorder="1"/>
    <xf numFmtId="0" fontId="0" fillId="0" borderId="9" xfId="0" applyBorder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9" fontId="0" fillId="7" borderId="12" xfId="1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8" fontId="6" fillId="0" borderId="0" xfId="0" applyNumberFormat="1" applyFont="1"/>
    <xf numFmtId="0" fontId="8" fillId="0" borderId="0" xfId="0" applyFont="1"/>
    <xf numFmtId="8" fontId="9" fillId="2" borderId="10" xfId="0" applyNumberFormat="1" applyFont="1" applyFill="1" applyBorder="1" applyAlignment="1">
      <alignment horizontal="right"/>
    </xf>
    <xf numFmtId="164" fontId="0" fillId="5" borderId="5" xfId="0" applyNumberFormat="1" applyFill="1" applyBorder="1"/>
    <xf numFmtId="164" fontId="1" fillId="0" borderId="0" xfId="0" applyNumberFormat="1" applyFont="1" applyAlignment="1">
      <alignment horizontal="right"/>
    </xf>
    <xf numFmtId="0" fontId="0" fillId="5" borderId="0" xfId="0" applyFill="1"/>
    <xf numFmtId="0" fontId="14" fillId="0" borderId="0" xfId="0" applyFont="1" applyAlignment="1">
      <alignment horizontal="left"/>
    </xf>
    <xf numFmtId="10" fontId="0" fillId="0" borderId="0" xfId="1" applyNumberFormat="1" applyFont="1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4" xfId="0" applyFill="1" applyBorder="1"/>
    <xf numFmtId="9" fontId="0" fillId="10" borderId="5" xfId="1" applyFont="1" applyFill="1" applyBorder="1"/>
    <xf numFmtId="44" fontId="0" fillId="10" borderId="5" xfId="3" applyFont="1" applyFill="1" applyBorder="1"/>
    <xf numFmtId="44" fontId="0" fillId="10" borderId="5" xfId="0" applyNumberFormat="1" applyFill="1" applyBorder="1"/>
    <xf numFmtId="164" fontId="0" fillId="10" borderId="5" xfId="0" applyNumberFormat="1" applyFill="1" applyBorder="1"/>
    <xf numFmtId="0" fontId="0" fillId="10" borderId="6" xfId="0" applyFill="1" applyBorder="1"/>
    <xf numFmtId="166" fontId="0" fillId="10" borderId="7" xfId="0" applyNumberFormat="1" applyFill="1" applyBorder="1"/>
    <xf numFmtId="0" fontId="0" fillId="10" borderId="5" xfId="0" applyFill="1" applyBorder="1"/>
    <xf numFmtId="0" fontId="1" fillId="10" borderId="4" xfId="0" applyFont="1" applyFill="1" applyBorder="1"/>
    <xf numFmtId="0" fontId="0" fillId="10" borderId="13" xfId="0" applyFill="1" applyBorder="1"/>
    <xf numFmtId="8" fontId="0" fillId="10" borderId="11" xfId="0" applyNumberFormat="1" applyFill="1" applyBorder="1"/>
    <xf numFmtId="0" fontId="0" fillId="10" borderId="8" xfId="0" applyFill="1" applyBorder="1"/>
    <xf numFmtId="8" fontId="13" fillId="10" borderId="10" xfId="0" applyNumberFormat="1" applyFont="1" applyFill="1" applyBorder="1"/>
    <xf numFmtId="44" fontId="0" fillId="10" borderId="3" xfId="0" applyNumberFormat="1" applyFill="1" applyBorder="1"/>
    <xf numFmtId="165" fontId="0" fillId="10" borderId="5" xfId="1" applyNumberFormat="1" applyFont="1" applyFill="1" applyBorder="1"/>
    <xf numFmtId="8" fontId="0" fillId="10" borderId="5" xfId="0" applyNumberFormat="1" applyFill="1" applyBorder="1"/>
    <xf numFmtId="0" fontId="0" fillId="10" borderId="0" xfId="0" applyFill="1"/>
    <xf numFmtId="8" fontId="15" fillId="10" borderId="5" xfId="0" applyNumberFormat="1" applyFont="1" applyFill="1" applyBorder="1"/>
    <xf numFmtId="0" fontId="0" fillId="10" borderId="10" xfId="0" applyFill="1" applyBorder="1"/>
    <xf numFmtId="44" fontId="0" fillId="10" borderId="10" xfId="0" applyNumberFormat="1" applyFill="1" applyBorder="1"/>
    <xf numFmtId="44" fontId="0" fillId="11" borderId="14" xfId="3" applyFont="1" applyFill="1" applyBorder="1" applyAlignment="1">
      <alignment horizontal="right"/>
    </xf>
    <xf numFmtId="0" fontId="0" fillId="10" borderId="17" xfId="0" applyFill="1" applyBorder="1"/>
    <xf numFmtId="0" fontId="0" fillId="10" borderId="18" xfId="0" applyFill="1" applyBorder="1"/>
    <xf numFmtId="9" fontId="17" fillId="10" borderId="5" xfId="5" applyNumberFormat="1" applyFont="1" applyFill="1" applyBorder="1"/>
    <xf numFmtId="0" fontId="7" fillId="10" borderId="19" xfId="0" applyFont="1" applyFill="1" applyBorder="1"/>
    <xf numFmtId="44" fontId="0" fillId="11" borderId="20" xfId="3" applyFont="1" applyFill="1" applyBorder="1" applyAlignment="1">
      <alignment horizontal="right"/>
    </xf>
    <xf numFmtId="44" fontId="17" fillId="10" borderId="21" xfId="5" applyNumberFormat="1" applyFont="1" applyFill="1" applyBorder="1"/>
    <xf numFmtId="44" fontId="17" fillId="10" borderId="5" xfId="5" applyNumberFormat="1" applyFont="1" applyFill="1" applyBorder="1"/>
    <xf numFmtId="44" fontId="15" fillId="10" borderId="22" xfId="0" applyNumberFormat="1" applyFont="1" applyFill="1" applyBorder="1"/>
    <xf numFmtId="0" fontId="1" fillId="10" borderId="16" xfId="0" applyFont="1" applyFill="1" applyBorder="1"/>
    <xf numFmtId="44" fontId="15" fillId="10" borderId="7" xfId="5" applyNumberFormat="1" applyFont="1" applyFill="1" applyBorder="1"/>
    <xf numFmtId="0" fontId="0" fillId="10" borderId="11" xfId="0" applyFill="1" applyBorder="1"/>
    <xf numFmtId="0" fontId="1" fillId="10" borderId="17" xfId="0" applyFont="1" applyFill="1" applyBorder="1"/>
    <xf numFmtId="9" fontId="0" fillId="11" borderId="23" xfId="1" applyFont="1" applyFill="1" applyBorder="1" applyAlignment="1">
      <alignment horizontal="right"/>
    </xf>
    <xf numFmtId="43" fontId="0" fillId="11" borderId="23" xfId="2" applyFont="1" applyFill="1" applyBorder="1" applyAlignment="1">
      <alignment horizontal="right"/>
    </xf>
    <xf numFmtId="44" fontId="0" fillId="0" borderId="0" xfId="3" applyFont="1" applyProtection="1"/>
    <xf numFmtId="9" fontId="0" fillId="0" borderId="0" xfId="1" applyFont="1" applyProtection="1"/>
    <xf numFmtId="9" fontId="0" fillId="8" borderId="12" xfId="1" applyFont="1" applyFill="1" applyBorder="1" applyAlignment="1" applyProtection="1">
      <alignment horizontal="right"/>
      <protection locked="0"/>
    </xf>
    <xf numFmtId="44" fontId="0" fillId="7" borderId="12" xfId="3" applyFont="1" applyFill="1" applyBorder="1" applyAlignment="1" applyProtection="1">
      <alignment horizontal="right"/>
      <protection locked="0"/>
    </xf>
    <xf numFmtId="9" fontId="0" fillId="7" borderId="12" xfId="1" applyFont="1" applyFill="1" applyBorder="1" applyAlignment="1" applyProtection="1">
      <alignment horizontal="right"/>
      <protection locked="0"/>
    </xf>
    <xf numFmtId="6" fontId="0" fillId="7" borderId="12" xfId="0" applyNumberFormat="1" applyFill="1" applyBorder="1" applyAlignment="1" applyProtection="1">
      <alignment horizontal="right"/>
      <protection locked="0"/>
    </xf>
    <xf numFmtId="44" fontId="9" fillId="6" borderId="12" xfId="3" applyFont="1" applyFill="1" applyBorder="1" applyAlignment="1" applyProtection="1">
      <alignment horizontal="right"/>
      <protection locked="0"/>
    </xf>
    <xf numFmtId="9" fontId="9" fillId="6" borderId="12" xfId="1" applyFont="1" applyFill="1" applyBorder="1" applyAlignment="1" applyProtection="1">
      <alignment horizontal="right"/>
      <protection locked="0"/>
    </xf>
    <xf numFmtId="0" fontId="9" fillId="6" borderId="12" xfId="0" applyFont="1" applyFill="1" applyBorder="1" applyAlignment="1" applyProtection="1">
      <alignment horizontal="right"/>
      <protection locked="0"/>
    </xf>
    <xf numFmtId="44" fontId="0" fillId="11" borderId="12" xfId="3" applyFont="1" applyFill="1" applyBorder="1" applyAlignment="1" applyProtection="1">
      <alignment horizontal="right"/>
      <protection locked="0"/>
    </xf>
    <xf numFmtId="9" fontId="0" fillId="11" borderId="12" xfId="1" applyFont="1" applyFill="1" applyBorder="1" applyAlignment="1" applyProtection="1">
      <alignment horizontal="right"/>
      <protection locked="0"/>
    </xf>
    <xf numFmtId="9" fontId="0" fillId="11" borderId="14" xfId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164" fontId="1" fillId="0" borderId="5" xfId="0" applyNumberFormat="1" applyFont="1" applyBorder="1" applyAlignment="1">
      <alignment horizontal="right"/>
    </xf>
    <xf numFmtId="9" fontId="0" fillId="0" borderId="0" xfId="1" applyFont="1" applyBorder="1" applyAlignment="1">
      <alignment horizontal="right"/>
    </xf>
    <xf numFmtId="0" fontId="9" fillId="6" borderId="24" xfId="0" applyFont="1" applyFill="1" applyBorder="1" applyAlignment="1" applyProtection="1">
      <alignment horizontal="right"/>
      <protection locked="0"/>
    </xf>
    <xf numFmtId="44" fontId="9" fillId="6" borderId="14" xfId="3" applyFont="1" applyFill="1" applyBorder="1" applyAlignment="1" applyProtection="1">
      <alignment horizontal="right"/>
      <protection locked="0"/>
    </xf>
    <xf numFmtId="44" fontId="9" fillId="0" borderId="10" xfId="3" applyFont="1" applyFill="1" applyBorder="1" applyAlignment="1" applyProtection="1">
      <alignment horizontal="right"/>
    </xf>
    <xf numFmtId="8" fontId="10" fillId="2" borderId="3" xfId="0" applyNumberFormat="1" applyFont="1" applyFill="1" applyBorder="1" applyAlignment="1">
      <alignment horizontal="right"/>
    </xf>
    <xf numFmtId="8" fontId="14" fillId="2" borderId="5" xfId="0" applyNumberFormat="1" applyFont="1" applyFill="1" applyBorder="1" applyAlignment="1">
      <alignment horizontal="right"/>
    </xf>
    <xf numFmtId="0" fontId="0" fillId="0" borderId="3" xfId="0" applyBorder="1"/>
    <xf numFmtId="44" fontId="0" fillId="0" borderId="5" xfId="3" applyFont="1" applyFill="1" applyBorder="1"/>
    <xf numFmtId="8" fontId="1" fillId="3" borderId="0" xfId="0" applyNumberFormat="1" applyFont="1" applyFill="1"/>
    <xf numFmtId="164" fontId="0" fillId="5" borderId="0" xfId="0" applyNumberFormat="1" applyFill="1"/>
    <xf numFmtId="44" fontId="0" fillId="0" borderId="0" xfId="3" applyFont="1" applyBorder="1"/>
    <xf numFmtId="44" fontId="0" fillId="0" borderId="9" xfId="3" applyFont="1" applyBorder="1"/>
    <xf numFmtId="44" fontId="0" fillId="0" borderId="10" xfId="3" applyFont="1" applyBorder="1"/>
    <xf numFmtId="164" fontId="0" fillId="4" borderId="0" xfId="0" applyNumberFormat="1" applyFill="1"/>
    <xf numFmtId="0" fontId="0" fillId="4" borderId="4" xfId="0" applyFill="1" applyBorder="1"/>
    <xf numFmtId="164" fontId="0" fillId="4" borderId="9" xfId="0" applyNumberFormat="1" applyFill="1" applyBorder="1"/>
    <xf numFmtId="10" fontId="7" fillId="0" borderId="0" xfId="1" applyNumberFormat="1" applyFont="1" applyFill="1" applyBorder="1"/>
    <xf numFmtId="0" fontId="7" fillId="0" borderId="0" xfId="0" applyFont="1"/>
    <xf numFmtId="8" fontId="0" fillId="0" borderId="0" xfId="3" applyNumberFormat="1" applyFont="1" applyFill="1" applyBorder="1"/>
    <xf numFmtId="43" fontId="0" fillId="0" borderId="0" xfId="2" applyFont="1" applyFill="1" applyBorder="1"/>
    <xf numFmtId="166" fontId="0" fillId="0" borderId="0" xfId="2" applyNumberFormat="1" applyFont="1" applyFill="1" applyBorder="1"/>
    <xf numFmtId="165" fontId="0" fillId="0" borderId="0" xfId="0" applyNumberFormat="1"/>
    <xf numFmtId="44" fontId="0" fillId="0" borderId="5" xfId="3" applyFont="1" applyBorder="1"/>
    <xf numFmtId="0" fontId="0" fillId="0" borderId="0" xfId="0" applyProtection="1">
      <protection hidden="1"/>
    </xf>
    <xf numFmtId="0" fontId="0" fillId="2" borderId="4" xfId="0" applyFill="1" applyBorder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6" fillId="2" borderId="4" xfId="0" applyFont="1" applyFill="1" applyBorder="1"/>
    <xf numFmtId="0" fontId="0" fillId="0" borderId="0" xfId="0" applyAlignment="1">
      <alignment horizontal="left" vertical="top" wrapText="1"/>
    </xf>
  </cellXfs>
  <cellStyles count="6">
    <cellStyle name="Calculation" xfId="5" builtinId="22"/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74"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font>
        <color rgb="FF00B050"/>
      </font>
    </dxf>
    <dxf>
      <border>
        <left style="thin">
          <color auto="1"/>
        </left>
        <right style="thin">
          <color auto="1"/>
        </right>
        <vertical/>
        <horizontal/>
      </border>
    </dxf>
    <dxf>
      <fill>
        <patternFill patternType="lightUp">
          <f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9" tint="-0.499984740745262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font>
        <color rgb="FF00B050"/>
      </font>
    </dxf>
    <dxf>
      <border>
        <left style="thin">
          <color auto="1"/>
        </left>
        <right style="thin">
          <color auto="1"/>
        </right>
        <vertical/>
        <horizontal/>
      </border>
    </dxf>
    <dxf>
      <fill>
        <patternFill patternType="lightUp">
          <f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9" tint="-0.499984740745262"/>
      </font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FF00"/>
      <color rgb="FF66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AC6-3FF0-4423-9B01-2384D469DB35}">
  <dimension ref="A1:AG129"/>
  <sheetViews>
    <sheetView tabSelected="1" zoomScale="125" zoomScaleNormal="125" zoomScaleSheetLayoutView="100" workbookViewId="0">
      <pane ySplit="3" topLeftCell="A18" activePane="bottomLeft" state="frozen"/>
      <selection activeCell="F1" sqref="F1"/>
      <selection pane="bottomLeft" activeCell="C22" sqref="C22"/>
    </sheetView>
  </sheetViews>
  <sheetFormatPr defaultColWidth="8.85546875" defaultRowHeight="15" zeroHeight="1" x14ac:dyDescent="0.25"/>
  <cols>
    <col min="1" max="1" width="66.7109375" customWidth="1"/>
    <col min="2" max="2" width="14.28515625" customWidth="1"/>
    <col min="3" max="3" width="37.7109375" customWidth="1"/>
    <col min="4" max="4" width="39.85546875" bestFit="1" customWidth="1"/>
    <col min="5" max="5" width="37.7109375" bestFit="1" customWidth="1"/>
    <col min="6" max="6" width="18" bestFit="1" customWidth="1"/>
    <col min="7" max="7" width="29" customWidth="1"/>
    <col min="8" max="8" width="20.28515625" customWidth="1"/>
    <col min="9" max="9" width="28.85546875" bestFit="1" customWidth="1"/>
    <col min="10" max="14" width="18" bestFit="1" customWidth="1"/>
    <col min="15" max="18" width="18.140625" bestFit="1" customWidth="1"/>
    <col min="19" max="26" width="8.42578125" bestFit="1" customWidth="1"/>
    <col min="27" max="27" width="13.42578125" bestFit="1" customWidth="1"/>
    <col min="28" max="32" width="8.42578125" bestFit="1" customWidth="1"/>
  </cols>
  <sheetData>
    <row r="1" spans="1:10" ht="19.5" thickBot="1" x14ac:dyDescent="0.35">
      <c r="A1" s="1" t="s">
        <v>0</v>
      </c>
      <c r="B1" s="33" t="s">
        <v>1</v>
      </c>
      <c r="C1" s="34" t="str">
        <f>+A8</f>
        <v>Home purchase price</v>
      </c>
      <c r="D1" s="92">
        <v>249900</v>
      </c>
      <c r="E1" s="35" t="str">
        <f>+A24</f>
        <v>Time spent in the house (years)</v>
      </c>
      <c r="F1" s="94">
        <v>10</v>
      </c>
      <c r="G1" s="36" t="str">
        <f>"No Own After "&amp; $B$24 &amp;" yrs"</f>
        <v>No Own After 10 yrs</v>
      </c>
      <c r="H1" s="106">
        <f>+$B$70</f>
        <v>149080.53537916782</v>
      </c>
      <c r="I1" s="34" t="s">
        <v>113</v>
      </c>
      <c r="J1" s="103">
        <v>1</v>
      </c>
    </row>
    <row r="2" spans="1:10" ht="19.5" thickBot="1" x14ac:dyDescent="0.35">
      <c r="A2" s="37" t="s">
        <v>2</v>
      </c>
      <c r="C2" s="38" t="str">
        <f>+A9</f>
        <v>Percentage down payment</v>
      </c>
      <c r="D2" s="93">
        <v>0.2</v>
      </c>
      <c r="G2" s="47" t="str">
        <f>"Own After "&amp; $B$24 &amp;" yrs"</f>
        <v>Own After 10 yrs</v>
      </c>
      <c r="H2" s="107">
        <f>+$B$84</f>
        <v>701339.35398480739</v>
      </c>
      <c r="I2" s="38" t="s">
        <v>118</v>
      </c>
      <c r="J2" s="104">
        <v>1700</v>
      </c>
    </row>
    <row r="3" spans="1:10" ht="19.5" thickBot="1" x14ac:dyDescent="0.35">
      <c r="A3" s="7" t="s">
        <v>3</v>
      </c>
      <c r="C3" s="39" t="str">
        <f>+A18</f>
        <v>Monthly rent saved</v>
      </c>
      <c r="D3" s="92">
        <v>0</v>
      </c>
      <c r="E3" s="32"/>
      <c r="F3" s="32"/>
      <c r="G3" s="40" t="s">
        <v>4</v>
      </c>
      <c r="H3" s="43">
        <f>($H$2-$H$1)</f>
        <v>552258.81860563951</v>
      </c>
      <c r="I3" s="39" t="s">
        <v>114</v>
      </c>
      <c r="J3" s="105">
        <f>+J2*J1</f>
        <v>1700</v>
      </c>
    </row>
    <row r="4" spans="1:10" x14ac:dyDescent="0.25"/>
    <row r="5" spans="1:10" x14ac:dyDescent="0.25"/>
    <row r="6" spans="1:10" x14ac:dyDescent="0.25">
      <c r="A6" s="1" t="s">
        <v>5</v>
      </c>
    </row>
    <row r="7" spans="1:10" ht="15.75" thickBot="1" x14ac:dyDescent="0.3">
      <c r="A7" s="2" t="s">
        <v>6</v>
      </c>
      <c r="D7" s="42" t="s">
        <v>7</v>
      </c>
    </row>
    <row r="8" spans="1:10" ht="15.75" thickBot="1" x14ac:dyDescent="0.3">
      <c r="A8" t="s">
        <v>8</v>
      </c>
      <c r="B8" s="86">
        <f>+D1</f>
        <v>249900</v>
      </c>
      <c r="D8" s="125" t="s">
        <v>9</v>
      </c>
      <c r="E8" s="89">
        <v>140</v>
      </c>
    </row>
    <row r="9" spans="1:10" ht="15.75" thickBot="1" x14ac:dyDescent="0.3">
      <c r="A9" t="s">
        <v>10</v>
      </c>
      <c r="B9" s="87">
        <f>+D2</f>
        <v>0.2</v>
      </c>
      <c r="D9" t="s">
        <v>11</v>
      </c>
      <c r="E9" s="90">
        <v>7.0000000000000007E-2</v>
      </c>
    </row>
    <row r="10" spans="1:10" ht="15.75" thickBot="1" x14ac:dyDescent="0.3">
      <c r="A10" t="s">
        <v>12</v>
      </c>
      <c r="B10" s="88">
        <v>0.03</v>
      </c>
      <c r="D10" t="s">
        <v>13</v>
      </c>
      <c r="E10" s="89">
        <v>2500</v>
      </c>
    </row>
    <row r="11" spans="1:10" ht="15.75" customHeight="1" thickBot="1" x14ac:dyDescent="0.3">
      <c r="A11" t="s">
        <v>14</v>
      </c>
      <c r="B11" s="88">
        <v>0.06</v>
      </c>
      <c r="D11" t="s">
        <v>15</v>
      </c>
      <c r="E11" s="91" t="s">
        <v>16</v>
      </c>
    </row>
    <row r="12" spans="1:10" ht="15.75" thickBot="1" x14ac:dyDescent="0.3">
      <c r="A12" t="s">
        <v>17</v>
      </c>
      <c r="B12" s="88">
        <v>3.1440000000000003E-2</v>
      </c>
    </row>
    <row r="13" spans="1:10" ht="15.75" thickBot="1" x14ac:dyDescent="0.3">
      <c r="A13" t="s">
        <v>18</v>
      </c>
      <c r="B13" s="30">
        <f>+B8*0.0065</f>
        <v>1624.35</v>
      </c>
      <c r="D13" t="s">
        <v>19</v>
      </c>
    </row>
    <row r="14" spans="1:10" ht="15.75" thickBot="1" x14ac:dyDescent="0.3">
      <c r="A14" t="s">
        <v>20</v>
      </c>
      <c r="B14" s="89">
        <f>0.015*B8</f>
        <v>3748.5</v>
      </c>
      <c r="D14" t="s">
        <v>21</v>
      </c>
      <c r="E14" s="30">
        <f>E8*E9</f>
        <v>9.8000000000000007</v>
      </c>
    </row>
    <row r="15" spans="1:10" ht="15.75" thickBot="1" x14ac:dyDescent="0.3">
      <c r="A15" t="s">
        <v>22</v>
      </c>
      <c r="B15" s="89">
        <f>147*12</f>
        <v>1764</v>
      </c>
      <c r="D15" t="s">
        <v>23</v>
      </c>
      <c r="E15" s="30">
        <f>IF(E11="Y",24000, 12000)</f>
        <v>12000</v>
      </c>
    </row>
    <row r="16" spans="1:10" x14ac:dyDescent="0.25"/>
    <row r="17" spans="1:32" x14ac:dyDescent="0.25">
      <c r="A17" s="2" t="s">
        <v>24</v>
      </c>
    </row>
    <row r="18" spans="1:32" ht="15.75" thickBot="1" x14ac:dyDescent="0.3">
      <c r="A18" t="s">
        <v>25</v>
      </c>
      <c r="B18" s="30">
        <f>+D3</f>
        <v>0</v>
      </c>
      <c r="C18" s="13"/>
      <c r="D18" t="s">
        <v>26</v>
      </c>
      <c r="E18" s="29"/>
    </row>
    <row r="19" spans="1:32" ht="15.75" thickBot="1" x14ac:dyDescent="0.3">
      <c r="A19" t="s">
        <v>27</v>
      </c>
      <c r="B19" s="90">
        <v>0.24</v>
      </c>
      <c r="D19" s="89">
        <v>10000</v>
      </c>
    </row>
    <row r="20" spans="1:32" ht="15.75" thickBot="1" x14ac:dyDescent="0.3">
      <c r="A20" t="s">
        <v>28</v>
      </c>
      <c r="B20" s="90">
        <v>0.02</v>
      </c>
    </row>
    <row r="21" spans="1:32" ht="15.75" customHeight="1" x14ac:dyDescent="0.25"/>
    <row r="22" spans="1:32" ht="15.75" thickBot="1" x14ac:dyDescent="0.3">
      <c r="A22" s="2" t="s">
        <v>29</v>
      </c>
    </row>
    <row r="23" spans="1:32" ht="15.75" thickBot="1" x14ac:dyDescent="0.3">
      <c r="A23" t="s">
        <v>30</v>
      </c>
      <c r="B23" s="90">
        <v>7.0000000000000007E-2</v>
      </c>
    </row>
    <row r="24" spans="1:32" ht="15.75" thickBot="1" x14ac:dyDescent="0.3">
      <c r="A24" t="s">
        <v>31</v>
      </c>
      <c r="B24" s="31">
        <f>+F1</f>
        <v>10</v>
      </c>
    </row>
    <row r="25" spans="1:32" ht="15.75" thickBot="1" x14ac:dyDescent="0.3">
      <c r="A25" t="s">
        <v>32</v>
      </c>
      <c r="B25" s="90">
        <v>7.0000000000000007E-2</v>
      </c>
      <c r="E25" s="14"/>
    </row>
    <row r="26" spans="1:32" ht="15.75" thickBot="1" x14ac:dyDescent="0.3">
      <c r="A26" t="s">
        <v>111</v>
      </c>
      <c r="C26" s="10">
        <f>+C29/$D$1</f>
        <v>0.78988087080796221</v>
      </c>
      <c r="D26" s="10">
        <f t="shared" ref="D26:AF26" si="0">+D29/$D$1</f>
        <v>0.77915459386440222</v>
      </c>
      <c r="E26" s="10">
        <f t="shared" si="0"/>
        <v>0.76778474030422861</v>
      </c>
      <c r="F26" s="10">
        <f t="shared" si="0"/>
        <v>0.75573269553044453</v>
      </c>
      <c r="G26" s="10">
        <f t="shared" si="0"/>
        <v>0.74295752807023341</v>
      </c>
      <c r="H26" s="10">
        <f t="shared" si="0"/>
        <v>0.72941585056240965</v>
      </c>
      <c r="I26" s="10">
        <f t="shared" si="0"/>
        <v>0.71506167240411644</v>
      </c>
      <c r="J26" s="10">
        <f>+J29/$D$1</f>
        <v>0.69984624355632574</v>
      </c>
      <c r="K26" s="10">
        <f t="shared" si="0"/>
        <v>0.6837178889776675</v>
      </c>
      <c r="L26" s="10">
        <f>+L29/$D$1</f>
        <v>0.66662183312428969</v>
      </c>
      <c r="M26" s="10">
        <f t="shared" si="0"/>
        <v>0</v>
      </c>
      <c r="N26" s="10">
        <f t="shared" si="0"/>
        <v>0</v>
      </c>
      <c r="O26" s="10">
        <f t="shared" si="0"/>
        <v>0</v>
      </c>
      <c r="P26" s="10">
        <f t="shared" si="0"/>
        <v>0</v>
      </c>
      <c r="Q26" s="10">
        <f t="shared" si="0"/>
        <v>0</v>
      </c>
      <c r="R26" s="10">
        <f t="shared" si="0"/>
        <v>0</v>
      </c>
      <c r="S26" s="10">
        <f t="shared" si="0"/>
        <v>0</v>
      </c>
      <c r="T26" s="10">
        <f t="shared" si="0"/>
        <v>0</v>
      </c>
      <c r="U26" s="10">
        <f t="shared" si="0"/>
        <v>0</v>
      </c>
      <c r="V26" s="10">
        <f t="shared" si="0"/>
        <v>0</v>
      </c>
      <c r="W26" s="10">
        <f t="shared" si="0"/>
        <v>0</v>
      </c>
      <c r="X26" s="10">
        <f t="shared" si="0"/>
        <v>0</v>
      </c>
      <c r="Y26" s="10">
        <f t="shared" si="0"/>
        <v>0</v>
      </c>
      <c r="Z26" s="10">
        <f t="shared" si="0"/>
        <v>0</v>
      </c>
      <c r="AA26" s="10">
        <f t="shared" si="0"/>
        <v>0</v>
      </c>
      <c r="AB26" s="10">
        <f t="shared" si="0"/>
        <v>0</v>
      </c>
      <c r="AC26" s="10">
        <f t="shared" si="0"/>
        <v>0</v>
      </c>
      <c r="AD26" s="10">
        <f t="shared" si="0"/>
        <v>0</v>
      </c>
      <c r="AE26" s="10">
        <f t="shared" si="0"/>
        <v>0</v>
      </c>
      <c r="AF26" s="10">
        <f t="shared" si="0"/>
        <v>0</v>
      </c>
    </row>
    <row r="27" spans="1:32" x14ac:dyDescent="0.25">
      <c r="A27" s="16" t="s">
        <v>33</v>
      </c>
      <c r="B27" s="17">
        <v>0</v>
      </c>
      <c r="C27" s="17">
        <v>1</v>
      </c>
      <c r="D27" s="17">
        <v>2</v>
      </c>
      <c r="E27" s="17">
        <v>3</v>
      </c>
      <c r="F27" s="17">
        <v>4</v>
      </c>
      <c r="G27" s="17">
        <v>5</v>
      </c>
      <c r="H27" s="17">
        <v>6</v>
      </c>
      <c r="I27" s="17">
        <v>7</v>
      </c>
      <c r="J27" s="17">
        <v>8</v>
      </c>
      <c r="K27" s="17">
        <v>9</v>
      </c>
      <c r="L27" s="17">
        <v>10</v>
      </c>
      <c r="M27" s="17">
        <v>11</v>
      </c>
      <c r="N27" s="17">
        <v>12</v>
      </c>
      <c r="O27" s="17">
        <v>13</v>
      </c>
      <c r="P27" s="17">
        <v>14</v>
      </c>
      <c r="Q27" s="17">
        <v>15</v>
      </c>
      <c r="R27" s="17">
        <v>16</v>
      </c>
      <c r="S27" s="17">
        <v>17</v>
      </c>
      <c r="T27" s="17">
        <v>18</v>
      </c>
      <c r="U27" s="17">
        <v>19</v>
      </c>
      <c r="V27" s="17">
        <v>20</v>
      </c>
      <c r="W27" s="17">
        <v>21</v>
      </c>
      <c r="X27" s="17">
        <v>22</v>
      </c>
      <c r="Y27" s="17">
        <v>23</v>
      </c>
      <c r="Z27" s="17">
        <v>24</v>
      </c>
      <c r="AA27" s="17">
        <v>25</v>
      </c>
      <c r="AB27" s="17">
        <v>26</v>
      </c>
      <c r="AC27" s="17">
        <v>27</v>
      </c>
      <c r="AD27" s="17">
        <v>28</v>
      </c>
      <c r="AE27" s="17">
        <v>29</v>
      </c>
      <c r="AF27" s="18">
        <v>30</v>
      </c>
    </row>
    <row r="28" spans="1:32" x14ac:dyDescent="0.25">
      <c r="A28" s="5" t="s">
        <v>34</v>
      </c>
      <c r="B28" s="99">
        <f>B8</f>
        <v>249900</v>
      </c>
      <c r="C28" s="99">
        <f t="shared" ref="C28:AF28" si="1">IF(C$37&lt;0,B28*(1+$B$20),0)</f>
        <v>254898</v>
      </c>
      <c r="D28" s="99">
        <f t="shared" si="1"/>
        <v>259995.96</v>
      </c>
      <c r="E28" s="99">
        <f t="shared" si="1"/>
        <v>265195.87920000002</v>
      </c>
      <c r="F28" s="99">
        <f t="shared" si="1"/>
        <v>270499.79678400001</v>
      </c>
      <c r="G28" s="99">
        <f t="shared" si="1"/>
        <v>275909.79271968</v>
      </c>
      <c r="H28" s="99">
        <f t="shared" si="1"/>
        <v>281427.98857407359</v>
      </c>
      <c r="I28" s="99">
        <f t="shared" si="1"/>
        <v>287056.54834555509</v>
      </c>
      <c r="J28" s="99">
        <f t="shared" si="1"/>
        <v>292797.67931246618</v>
      </c>
      <c r="K28" s="99">
        <f t="shared" si="1"/>
        <v>298653.6328987155</v>
      </c>
      <c r="L28" s="99">
        <f t="shared" si="1"/>
        <v>304626.70555668982</v>
      </c>
      <c r="M28" s="99">
        <f t="shared" si="1"/>
        <v>0</v>
      </c>
      <c r="N28" s="99">
        <f t="shared" si="1"/>
        <v>0</v>
      </c>
      <c r="O28" s="99">
        <f t="shared" si="1"/>
        <v>0</v>
      </c>
      <c r="P28" s="99">
        <f t="shared" si="1"/>
        <v>0</v>
      </c>
      <c r="Q28" s="99">
        <f t="shared" si="1"/>
        <v>0</v>
      </c>
      <c r="R28" s="99">
        <f t="shared" si="1"/>
        <v>0</v>
      </c>
      <c r="S28" s="99">
        <f t="shared" si="1"/>
        <v>0</v>
      </c>
      <c r="T28" s="99">
        <f t="shared" si="1"/>
        <v>0</v>
      </c>
      <c r="U28" s="99">
        <f t="shared" si="1"/>
        <v>0</v>
      </c>
      <c r="V28" s="99">
        <f t="shared" si="1"/>
        <v>0</v>
      </c>
      <c r="W28" s="99">
        <f t="shared" si="1"/>
        <v>0</v>
      </c>
      <c r="X28" s="99">
        <f t="shared" si="1"/>
        <v>0</v>
      </c>
      <c r="Y28" s="99">
        <f t="shared" si="1"/>
        <v>0</v>
      </c>
      <c r="Z28" s="99">
        <f t="shared" si="1"/>
        <v>0</v>
      </c>
      <c r="AA28" s="99">
        <f t="shared" si="1"/>
        <v>0</v>
      </c>
      <c r="AB28" s="99">
        <f t="shared" si="1"/>
        <v>0</v>
      </c>
      <c r="AC28" s="99">
        <f t="shared" si="1"/>
        <v>0</v>
      </c>
      <c r="AD28" s="99">
        <f t="shared" si="1"/>
        <v>0</v>
      </c>
      <c r="AE28" s="99">
        <f t="shared" si="1"/>
        <v>0</v>
      </c>
      <c r="AF28" s="19">
        <f t="shared" si="1"/>
        <v>0</v>
      </c>
    </row>
    <row r="29" spans="1:32" x14ac:dyDescent="0.25">
      <c r="A29" s="5" t="s">
        <v>35</v>
      </c>
      <c r="B29" s="99">
        <f>B8*(1-B9)</f>
        <v>199920</v>
      </c>
      <c r="C29" s="3">
        <f t="shared" ref="C29:F29" si="2">IF(C$37&lt;0,B$29+C$38,0)</f>
        <v>197391.22961490977</v>
      </c>
      <c r="D29" s="3">
        <f t="shared" si="2"/>
        <v>194710.73300671412</v>
      </c>
      <c r="E29" s="3">
        <f t="shared" si="2"/>
        <v>191869.40660202672</v>
      </c>
      <c r="F29" s="3">
        <f t="shared" si="2"/>
        <v>188857.60061305808</v>
      </c>
      <c r="G29" s="3">
        <f>IF(G$37&lt;0,F$29+G$38,0)</f>
        <v>185665.08626475133</v>
      </c>
      <c r="H29" s="3">
        <f>IF(H$37&lt;0,G$29+H$38,0)</f>
        <v>182281.02105554618</v>
      </c>
      <c r="I29" s="3">
        <f t="shared" ref="I29:AF29" si="3">IF(I$37&lt;0,H$29+I$38,0)</f>
        <v>178693.91193378871</v>
      </c>
      <c r="J29" s="3">
        <f t="shared" si="3"/>
        <v>174891.57626472579</v>
      </c>
      <c r="K29" s="3">
        <f t="shared" si="3"/>
        <v>170861.1004555191</v>
      </c>
      <c r="L29" s="3">
        <f t="shared" si="3"/>
        <v>166588.79609776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  <c r="V29" s="3">
        <f t="shared" si="3"/>
        <v>0</v>
      </c>
      <c r="W29" s="3">
        <f t="shared" si="3"/>
        <v>0</v>
      </c>
      <c r="X29" s="3">
        <f t="shared" si="3"/>
        <v>0</v>
      </c>
      <c r="Y29" s="3">
        <f t="shared" si="3"/>
        <v>0</v>
      </c>
      <c r="Z29" s="3">
        <f t="shared" si="3"/>
        <v>0</v>
      </c>
      <c r="AA29" s="3">
        <f t="shared" si="3"/>
        <v>0</v>
      </c>
      <c r="AB29" s="3">
        <f t="shared" si="3"/>
        <v>0</v>
      </c>
      <c r="AC29" s="3">
        <f t="shared" si="3"/>
        <v>0</v>
      </c>
      <c r="AD29" s="3">
        <f t="shared" si="3"/>
        <v>0</v>
      </c>
      <c r="AE29" s="3">
        <f t="shared" si="3"/>
        <v>0</v>
      </c>
      <c r="AF29" s="28">
        <f t="shared" si="3"/>
        <v>0</v>
      </c>
    </row>
    <row r="30" spans="1:32" x14ac:dyDescent="0.25">
      <c r="A30" s="5" t="s">
        <v>36</v>
      </c>
      <c r="B30" s="99">
        <f>PMT(B11,30,-B29,0)</f>
        <v>14523.970385090241</v>
      </c>
      <c r="C30" s="102">
        <f>+C29/C28</f>
        <v>0.77439301059604138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9"/>
    </row>
    <row r="31" spans="1:32" x14ac:dyDescent="0.25">
      <c r="A31" s="5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19"/>
    </row>
    <row r="32" spans="1:32" x14ac:dyDescent="0.25">
      <c r="A32" s="5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20"/>
    </row>
    <row r="33" spans="1:32" x14ac:dyDescent="0.25">
      <c r="A33" s="5" t="s">
        <v>37</v>
      </c>
      <c r="B33" s="98"/>
      <c r="C33" s="100">
        <f t="shared" ref="C33:AF33" si="4">MIN($E$14-C40,10000)+$E$10+C45/$B$19</f>
        <v>22361.856</v>
      </c>
      <c r="D33" s="100">
        <f t="shared" si="4"/>
        <v>22367.266896894587</v>
      </c>
      <c r="E33" s="100">
        <f t="shared" si="4"/>
        <v>22366.71696280285</v>
      </c>
      <c r="F33" s="100">
        <f t="shared" si="4"/>
        <v>22359.722838169604</v>
      </c>
      <c r="G33" s="100">
        <f t="shared" si="4"/>
        <v>22345.769647672445</v>
      </c>
      <c r="H33" s="100">
        <f t="shared" si="4"/>
        <v>22324.309058991821</v>
      </c>
      <c r="I33" s="100">
        <f t="shared" si="4"/>
        <v>22294.757224101646</v>
      </c>
      <c r="J33" s="100">
        <f t="shared" si="4"/>
        <v>22256.492596011572</v>
      </c>
      <c r="K33" s="100">
        <f t="shared" si="4"/>
        <v>22208.853613467483</v>
      </c>
      <c r="L33" s="100">
        <f t="shared" si="4"/>
        <v>22151.136245666763</v>
      </c>
      <c r="M33" s="100">
        <f t="shared" si="4"/>
        <v>2509.8000000000002</v>
      </c>
      <c r="N33" s="100">
        <f t="shared" si="4"/>
        <v>2509.8000000000002</v>
      </c>
      <c r="O33" s="100">
        <f t="shared" si="4"/>
        <v>2509.8000000000002</v>
      </c>
      <c r="P33" s="100">
        <f t="shared" si="4"/>
        <v>2509.8000000000002</v>
      </c>
      <c r="Q33" s="100">
        <f t="shared" si="4"/>
        <v>2509.8000000000002</v>
      </c>
      <c r="R33" s="100">
        <f t="shared" si="4"/>
        <v>2509.8000000000002</v>
      </c>
      <c r="S33" s="100">
        <f t="shared" si="4"/>
        <v>2509.8000000000002</v>
      </c>
      <c r="T33" s="100">
        <f t="shared" si="4"/>
        <v>2509.8000000000002</v>
      </c>
      <c r="U33" s="100">
        <f t="shared" si="4"/>
        <v>2509.8000000000002</v>
      </c>
      <c r="V33" s="100">
        <f t="shared" si="4"/>
        <v>2509.8000000000002</v>
      </c>
      <c r="W33" s="100">
        <f t="shared" si="4"/>
        <v>2509.8000000000002</v>
      </c>
      <c r="X33" s="100">
        <f t="shared" si="4"/>
        <v>2509.8000000000002</v>
      </c>
      <c r="Y33" s="100">
        <f t="shared" si="4"/>
        <v>2509.8000000000002</v>
      </c>
      <c r="Z33" s="100">
        <f t="shared" si="4"/>
        <v>2509.8000000000002</v>
      </c>
      <c r="AA33" s="100">
        <f t="shared" si="4"/>
        <v>2509.8000000000002</v>
      </c>
      <c r="AB33" s="100">
        <f t="shared" si="4"/>
        <v>2509.8000000000002</v>
      </c>
      <c r="AC33" s="100">
        <f t="shared" si="4"/>
        <v>2509.8000000000002</v>
      </c>
      <c r="AD33" s="100">
        <f t="shared" si="4"/>
        <v>2509.8000000000002</v>
      </c>
      <c r="AE33" s="100">
        <f t="shared" si="4"/>
        <v>2509.8000000000002</v>
      </c>
      <c r="AF33" s="21">
        <f t="shared" si="4"/>
        <v>2509.8000000000002</v>
      </c>
    </row>
    <row r="34" spans="1:32" x14ac:dyDescent="0.25">
      <c r="A34" s="5" t="s">
        <v>38</v>
      </c>
      <c r="B34" s="98">
        <v>0</v>
      </c>
      <c r="C34" s="98">
        <v>1</v>
      </c>
      <c r="D34" s="98">
        <v>2</v>
      </c>
      <c r="E34" s="98">
        <v>3</v>
      </c>
      <c r="F34" s="98">
        <v>4</v>
      </c>
      <c r="G34" s="98">
        <v>5</v>
      </c>
      <c r="H34" s="98">
        <v>6</v>
      </c>
      <c r="I34" s="98">
        <v>7</v>
      </c>
      <c r="J34" s="98">
        <v>8</v>
      </c>
      <c r="K34" s="98">
        <v>9</v>
      </c>
      <c r="L34" s="98">
        <f>+K34+1</f>
        <v>10</v>
      </c>
      <c r="M34" s="98">
        <f t="shared" ref="M34:AF34" si="5">+L34+1</f>
        <v>11</v>
      </c>
      <c r="N34" s="98">
        <f t="shared" si="5"/>
        <v>12</v>
      </c>
      <c r="O34" s="98">
        <f t="shared" si="5"/>
        <v>13</v>
      </c>
      <c r="P34" s="98">
        <f t="shared" si="5"/>
        <v>14</v>
      </c>
      <c r="Q34" s="98">
        <f t="shared" si="5"/>
        <v>15</v>
      </c>
      <c r="R34" s="98">
        <f t="shared" si="5"/>
        <v>16</v>
      </c>
      <c r="S34" s="98">
        <f t="shared" si="5"/>
        <v>17</v>
      </c>
      <c r="T34" s="98">
        <f t="shared" si="5"/>
        <v>18</v>
      </c>
      <c r="U34" s="98">
        <f t="shared" si="5"/>
        <v>19</v>
      </c>
      <c r="V34" s="98">
        <f t="shared" si="5"/>
        <v>20</v>
      </c>
      <c r="W34" s="98">
        <f t="shared" si="5"/>
        <v>21</v>
      </c>
      <c r="X34" s="98">
        <f t="shared" si="5"/>
        <v>22</v>
      </c>
      <c r="Y34" s="98">
        <f t="shared" si="5"/>
        <v>23</v>
      </c>
      <c r="Z34" s="98">
        <f t="shared" si="5"/>
        <v>24</v>
      </c>
      <c r="AA34" s="98">
        <f t="shared" si="5"/>
        <v>25</v>
      </c>
      <c r="AB34" s="98">
        <f t="shared" si="5"/>
        <v>26</v>
      </c>
      <c r="AC34" s="98">
        <f t="shared" si="5"/>
        <v>27</v>
      </c>
      <c r="AD34" s="98">
        <f t="shared" si="5"/>
        <v>28</v>
      </c>
      <c r="AE34" s="98">
        <f t="shared" si="5"/>
        <v>29</v>
      </c>
      <c r="AF34" s="20">
        <f t="shared" si="5"/>
        <v>30</v>
      </c>
    </row>
    <row r="35" spans="1:32" x14ac:dyDescent="0.25">
      <c r="A35" s="5" t="s">
        <v>39</v>
      </c>
      <c r="B35" s="99">
        <f>-B8*B9</f>
        <v>-49980</v>
      </c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20"/>
    </row>
    <row r="36" spans="1:32" x14ac:dyDescent="0.25">
      <c r="A36" s="5" t="s">
        <v>12</v>
      </c>
      <c r="B36" s="99">
        <f>-B8*B10</f>
        <v>-7497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20"/>
    </row>
    <row r="37" spans="1:32" x14ac:dyDescent="0.25">
      <c r="A37" s="5" t="s">
        <v>40</v>
      </c>
      <c r="B37" s="98"/>
      <c r="C37" s="99">
        <f t="shared" ref="C37:AF37" si="6">IF(C34&lt;=$B$24,-B29*$B$11,0)</f>
        <v>-11995.199999999999</v>
      </c>
      <c r="D37" s="99">
        <f t="shared" si="6"/>
        <v>-11843.473776894585</v>
      </c>
      <c r="E37" s="99">
        <f t="shared" si="6"/>
        <v>-11682.643980402847</v>
      </c>
      <c r="F37" s="99">
        <f t="shared" si="6"/>
        <v>-11512.164396121603</v>
      </c>
      <c r="G37" s="99">
        <f t="shared" si="6"/>
        <v>-11331.456036783484</v>
      </c>
      <c r="H37" s="99">
        <f t="shared" si="6"/>
        <v>-11139.90517588508</v>
      </c>
      <c r="I37" s="99">
        <f t="shared" si="6"/>
        <v>-10936.86126333277</v>
      </c>
      <c r="J37" s="99">
        <f t="shared" si="6"/>
        <v>-10721.634716027322</v>
      </c>
      <c r="K37" s="99">
        <f t="shared" si="6"/>
        <v>-10493.494575883547</v>
      </c>
      <c r="L37" s="99">
        <f t="shared" si="6"/>
        <v>-10251.666027331146</v>
      </c>
      <c r="M37" s="99">
        <f t="shared" si="6"/>
        <v>0</v>
      </c>
      <c r="N37" s="99">
        <f t="shared" si="6"/>
        <v>0</v>
      </c>
      <c r="O37" s="99">
        <f t="shared" si="6"/>
        <v>0</v>
      </c>
      <c r="P37" s="99">
        <f t="shared" si="6"/>
        <v>0</v>
      </c>
      <c r="Q37" s="99">
        <f t="shared" si="6"/>
        <v>0</v>
      </c>
      <c r="R37" s="99">
        <f t="shared" si="6"/>
        <v>0</v>
      </c>
      <c r="S37" s="99">
        <f t="shared" si="6"/>
        <v>0</v>
      </c>
      <c r="T37" s="99">
        <f t="shared" si="6"/>
        <v>0</v>
      </c>
      <c r="U37" s="99">
        <f t="shared" si="6"/>
        <v>0</v>
      </c>
      <c r="V37" s="99">
        <f t="shared" si="6"/>
        <v>0</v>
      </c>
      <c r="W37" s="99">
        <f t="shared" si="6"/>
        <v>0</v>
      </c>
      <c r="X37" s="99">
        <f t="shared" si="6"/>
        <v>0</v>
      </c>
      <c r="Y37" s="99">
        <f t="shared" si="6"/>
        <v>0</v>
      </c>
      <c r="Z37" s="99">
        <f t="shared" si="6"/>
        <v>0</v>
      </c>
      <c r="AA37" s="99">
        <f t="shared" si="6"/>
        <v>0</v>
      </c>
      <c r="AB37" s="99">
        <f t="shared" si="6"/>
        <v>0</v>
      </c>
      <c r="AC37" s="99">
        <f t="shared" si="6"/>
        <v>0</v>
      </c>
      <c r="AD37" s="99">
        <f t="shared" si="6"/>
        <v>0</v>
      </c>
      <c r="AE37" s="99">
        <f t="shared" si="6"/>
        <v>0</v>
      </c>
      <c r="AF37" s="19">
        <f t="shared" si="6"/>
        <v>0</v>
      </c>
    </row>
    <row r="38" spans="1:32" x14ac:dyDescent="0.25">
      <c r="A38" s="5" t="s">
        <v>41</v>
      </c>
      <c r="B38" s="99"/>
      <c r="C38" s="99">
        <f t="shared" ref="C38:AF38" si="7">IF(C34&lt;=$B$24,-$B$30-C37,0)</f>
        <v>-2528.7703850902417</v>
      </c>
      <c r="D38" s="99">
        <f t="shared" si="7"/>
        <v>-2680.4966081956554</v>
      </c>
      <c r="E38" s="99">
        <f t="shared" si="7"/>
        <v>-2841.3264046873937</v>
      </c>
      <c r="F38" s="99">
        <f t="shared" si="7"/>
        <v>-3011.8059889686374</v>
      </c>
      <c r="G38" s="99">
        <f t="shared" si="7"/>
        <v>-3192.5143483067568</v>
      </c>
      <c r="H38" s="99">
        <f t="shared" si="7"/>
        <v>-3384.0652092051605</v>
      </c>
      <c r="I38" s="99">
        <f>IF(I34&lt;=$B$24,-$B$30-I37,0)</f>
        <v>-3587.1091217574703</v>
      </c>
      <c r="J38" s="99">
        <f t="shared" si="7"/>
        <v>-3802.3356690629189</v>
      </c>
      <c r="K38" s="99">
        <f t="shared" si="7"/>
        <v>-4030.4758092066932</v>
      </c>
      <c r="L38" s="99">
        <f t="shared" si="7"/>
        <v>-4272.3043577590943</v>
      </c>
      <c r="M38" s="99">
        <f t="shared" si="7"/>
        <v>0</v>
      </c>
      <c r="N38" s="99">
        <f t="shared" si="7"/>
        <v>0</v>
      </c>
      <c r="O38" s="99">
        <f t="shared" si="7"/>
        <v>0</v>
      </c>
      <c r="P38" s="99">
        <f t="shared" si="7"/>
        <v>0</v>
      </c>
      <c r="Q38" s="99">
        <f t="shared" si="7"/>
        <v>0</v>
      </c>
      <c r="R38" s="99">
        <f t="shared" si="7"/>
        <v>0</v>
      </c>
      <c r="S38" s="99">
        <f t="shared" si="7"/>
        <v>0</v>
      </c>
      <c r="T38" s="99">
        <f t="shared" si="7"/>
        <v>0</v>
      </c>
      <c r="U38" s="99">
        <f t="shared" si="7"/>
        <v>0</v>
      </c>
      <c r="V38" s="99">
        <f t="shared" si="7"/>
        <v>0</v>
      </c>
      <c r="W38" s="99">
        <f t="shared" si="7"/>
        <v>0</v>
      </c>
      <c r="X38" s="99">
        <f t="shared" si="7"/>
        <v>0</v>
      </c>
      <c r="Y38" s="99">
        <f t="shared" si="7"/>
        <v>0</v>
      </c>
      <c r="Z38" s="99">
        <f t="shared" si="7"/>
        <v>0</v>
      </c>
      <c r="AA38" s="99">
        <f t="shared" si="7"/>
        <v>0</v>
      </c>
      <c r="AB38" s="99">
        <f t="shared" si="7"/>
        <v>0</v>
      </c>
      <c r="AC38" s="99">
        <f t="shared" si="7"/>
        <v>0</v>
      </c>
      <c r="AD38" s="99">
        <f t="shared" si="7"/>
        <v>0</v>
      </c>
      <c r="AE38" s="99">
        <f t="shared" si="7"/>
        <v>0</v>
      </c>
      <c r="AF38" s="19">
        <f t="shared" si="7"/>
        <v>0</v>
      </c>
    </row>
    <row r="39" spans="1:32" x14ac:dyDescent="0.25">
      <c r="A39" s="5" t="s">
        <v>42</v>
      </c>
      <c r="B39" s="98"/>
      <c r="C39" s="99">
        <f>IF(AND(C$27&lt;=$F$1,$B$9&lt;0.2,(C29/$D$1)&gt;=0.83),-$B$15,0)</f>
        <v>0</v>
      </c>
      <c r="D39" s="99">
        <f t="shared" ref="D39:AF39" si="8">IF(AND(D$27&lt;=$F$1,$B$9&lt;0.2,(D29/$D$1)&gt;=0.83),-$B$15,0)</f>
        <v>0</v>
      </c>
      <c r="E39" s="99">
        <f t="shared" si="8"/>
        <v>0</v>
      </c>
      <c r="F39" s="99">
        <f t="shared" si="8"/>
        <v>0</v>
      </c>
      <c r="G39" s="99">
        <f>IF(AND(G$27&lt;=$F$1,$B$9&lt;0.2,(G29/$D$1)&gt;=0.83),-$B$15,0)</f>
        <v>0</v>
      </c>
      <c r="H39" s="99">
        <f t="shared" si="8"/>
        <v>0</v>
      </c>
      <c r="I39" s="99">
        <f t="shared" si="8"/>
        <v>0</v>
      </c>
      <c r="J39" s="99">
        <f t="shared" si="8"/>
        <v>0</v>
      </c>
      <c r="K39" s="99">
        <f t="shared" si="8"/>
        <v>0</v>
      </c>
      <c r="L39" s="99">
        <f t="shared" si="8"/>
        <v>0</v>
      </c>
      <c r="M39" s="99">
        <f t="shared" si="8"/>
        <v>0</v>
      </c>
      <c r="N39" s="99">
        <f t="shared" si="8"/>
        <v>0</v>
      </c>
      <c r="O39" s="99">
        <f t="shared" si="8"/>
        <v>0</v>
      </c>
      <c r="P39" s="99">
        <f t="shared" si="8"/>
        <v>0</v>
      </c>
      <c r="Q39" s="99">
        <f t="shared" si="8"/>
        <v>0</v>
      </c>
      <c r="R39" s="99">
        <f t="shared" si="8"/>
        <v>0</v>
      </c>
      <c r="S39" s="99">
        <f t="shared" si="8"/>
        <v>0</v>
      </c>
      <c r="T39" s="99">
        <f t="shared" si="8"/>
        <v>0</v>
      </c>
      <c r="U39" s="99">
        <f t="shared" si="8"/>
        <v>0</v>
      </c>
      <c r="V39" s="99">
        <f t="shared" si="8"/>
        <v>0</v>
      </c>
      <c r="W39" s="99">
        <f t="shared" si="8"/>
        <v>0</v>
      </c>
      <c r="X39" s="99">
        <f t="shared" si="8"/>
        <v>0</v>
      </c>
      <c r="Y39" s="99">
        <f t="shared" si="8"/>
        <v>0</v>
      </c>
      <c r="Z39" s="99">
        <f t="shared" si="8"/>
        <v>0</v>
      </c>
      <c r="AA39" s="99">
        <f t="shared" si="8"/>
        <v>0</v>
      </c>
      <c r="AB39" s="99">
        <f t="shared" si="8"/>
        <v>0</v>
      </c>
      <c r="AC39" s="99">
        <f t="shared" si="8"/>
        <v>0</v>
      </c>
      <c r="AD39" s="99">
        <f t="shared" si="8"/>
        <v>0</v>
      </c>
      <c r="AE39" s="99">
        <f t="shared" si="8"/>
        <v>0</v>
      </c>
      <c r="AF39" s="19">
        <f t="shared" si="8"/>
        <v>0</v>
      </c>
    </row>
    <row r="40" spans="1:32" x14ac:dyDescent="0.25">
      <c r="A40" s="5" t="s">
        <v>43</v>
      </c>
      <c r="B40" s="98"/>
      <c r="C40" s="99">
        <f>IF(C34&lt;=$B$24,-B28*$B$12,0)</f>
        <v>-7856.8560000000007</v>
      </c>
      <c r="D40" s="99">
        <f>IF(D34&lt;=$B$24,-C28*$B$12,0)</f>
        <v>-8013.993120000001</v>
      </c>
      <c r="E40" s="99">
        <f t="shared" ref="E40:AF40" si="9">IF(E34&lt;=$B$24,-D28*$B$12,0)</f>
        <v>-8174.2729824000007</v>
      </c>
      <c r="F40" s="99">
        <f t="shared" si="9"/>
        <v>-8337.7584420480016</v>
      </c>
      <c r="G40" s="99">
        <f t="shared" si="9"/>
        <v>-8504.5136108889601</v>
      </c>
      <c r="H40" s="99">
        <f t="shared" si="9"/>
        <v>-8674.6038831067399</v>
      </c>
      <c r="I40" s="99">
        <f t="shared" si="9"/>
        <v>-8848.0959607688746</v>
      </c>
      <c r="J40" s="99">
        <f t="shared" si="9"/>
        <v>-9025.0578799842533</v>
      </c>
      <c r="K40" s="99">
        <f t="shared" si="9"/>
        <v>-9205.5590375839365</v>
      </c>
      <c r="L40" s="99">
        <f t="shared" si="9"/>
        <v>-9389.6702183356156</v>
      </c>
      <c r="M40" s="99">
        <f t="shared" si="9"/>
        <v>0</v>
      </c>
      <c r="N40" s="99">
        <f t="shared" si="9"/>
        <v>0</v>
      </c>
      <c r="O40" s="99">
        <f t="shared" si="9"/>
        <v>0</v>
      </c>
      <c r="P40" s="99">
        <f t="shared" si="9"/>
        <v>0</v>
      </c>
      <c r="Q40" s="99">
        <f t="shared" si="9"/>
        <v>0</v>
      </c>
      <c r="R40" s="99">
        <f t="shared" si="9"/>
        <v>0</v>
      </c>
      <c r="S40" s="99">
        <f t="shared" si="9"/>
        <v>0</v>
      </c>
      <c r="T40" s="99">
        <f t="shared" si="9"/>
        <v>0</v>
      </c>
      <c r="U40" s="99">
        <f t="shared" si="9"/>
        <v>0</v>
      </c>
      <c r="V40" s="99">
        <f t="shared" si="9"/>
        <v>0</v>
      </c>
      <c r="W40" s="99">
        <f t="shared" si="9"/>
        <v>0</v>
      </c>
      <c r="X40" s="99">
        <f t="shared" si="9"/>
        <v>0</v>
      </c>
      <c r="Y40" s="99">
        <f t="shared" si="9"/>
        <v>0</v>
      </c>
      <c r="Z40" s="99">
        <f t="shared" si="9"/>
        <v>0</v>
      </c>
      <c r="AA40" s="99">
        <f t="shared" si="9"/>
        <v>0</v>
      </c>
      <c r="AB40" s="99">
        <f t="shared" si="9"/>
        <v>0</v>
      </c>
      <c r="AC40" s="99">
        <f t="shared" si="9"/>
        <v>0</v>
      </c>
      <c r="AD40" s="99">
        <f t="shared" si="9"/>
        <v>0</v>
      </c>
      <c r="AE40" s="99">
        <f t="shared" si="9"/>
        <v>0</v>
      </c>
      <c r="AF40" s="19">
        <f t="shared" si="9"/>
        <v>0</v>
      </c>
    </row>
    <row r="41" spans="1:32" x14ac:dyDescent="0.25">
      <c r="A41" s="5" t="s">
        <v>44</v>
      </c>
      <c r="B41" s="98"/>
      <c r="C41" s="99">
        <f>-B13</f>
        <v>-1624.35</v>
      </c>
      <c r="D41" s="99">
        <f t="shared" ref="D41:AF41" si="10">IF(D34&lt;=$B$24,C41*(1+$B$23),0)</f>
        <v>-1738.0545</v>
      </c>
      <c r="E41" s="99">
        <f t="shared" si="10"/>
        <v>-1859.7183150000001</v>
      </c>
      <c r="F41" s="99">
        <f t="shared" si="10"/>
        <v>-1989.8985970500003</v>
      </c>
      <c r="G41" s="99">
        <f t="shared" si="10"/>
        <v>-2129.1914988435005</v>
      </c>
      <c r="H41" s="99">
        <f t="shared" si="10"/>
        <v>-2278.2349037625459</v>
      </c>
      <c r="I41" s="99">
        <f t="shared" si="10"/>
        <v>-2437.7113470259242</v>
      </c>
      <c r="J41" s="99">
        <f t="shared" si="10"/>
        <v>-2608.3511413177389</v>
      </c>
      <c r="K41" s="99">
        <f t="shared" si="10"/>
        <v>-2790.9357212099808</v>
      </c>
      <c r="L41" s="99">
        <f t="shared" si="10"/>
        <v>-2986.3012216946795</v>
      </c>
      <c r="M41" s="99">
        <f t="shared" si="10"/>
        <v>0</v>
      </c>
      <c r="N41" s="99">
        <f t="shared" si="10"/>
        <v>0</v>
      </c>
      <c r="O41" s="99">
        <f t="shared" si="10"/>
        <v>0</v>
      </c>
      <c r="P41" s="99">
        <f t="shared" si="10"/>
        <v>0</v>
      </c>
      <c r="Q41" s="99">
        <f t="shared" si="10"/>
        <v>0</v>
      </c>
      <c r="R41" s="99">
        <f t="shared" si="10"/>
        <v>0</v>
      </c>
      <c r="S41" s="99">
        <f t="shared" si="10"/>
        <v>0</v>
      </c>
      <c r="T41" s="99">
        <f t="shared" si="10"/>
        <v>0</v>
      </c>
      <c r="U41" s="99">
        <f t="shared" si="10"/>
        <v>0</v>
      </c>
      <c r="V41" s="99">
        <f t="shared" si="10"/>
        <v>0</v>
      </c>
      <c r="W41" s="99">
        <f t="shared" si="10"/>
        <v>0</v>
      </c>
      <c r="X41" s="99">
        <f t="shared" si="10"/>
        <v>0</v>
      </c>
      <c r="Y41" s="99">
        <f t="shared" si="10"/>
        <v>0</v>
      </c>
      <c r="Z41" s="99">
        <f t="shared" si="10"/>
        <v>0</v>
      </c>
      <c r="AA41" s="99">
        <f t="shared" si="10"/>
        <v>0</v>
      </c>
      <c r="AB41" s="99">
        <f t="shared" si="10"/>
        <v>0</v>
      </c>
      <c r="AC41" s="99">
        <f t="shared" si="10"/>
        <v>0</v>
      </c>
      <c r="AD41" s="99">
        <f t="shared" si="10"/>
        <v>0</v>
      </c>
      <c r="AE41" s="99">
        <f t="shared" si="10"/>
        <v>0</v>
      </c>
      <c r="AF41" s="19">
        <f t="shared" si="10"/>
        <v>0</v>
      </c>
    </row>
    <row r="42" spans="1:32" x14ac:dyDescent="0.25">
      <c r="A42" s="5" t="s">
        <v>45</v>
      </c>
      <c r="B42" s="98"/>
      <c r="C42" s="99">
        <f>-B14</f>
        <v>-3748.5</v>
      </c>
      <c r="D42" s="99">
        <f t="shared" ref="D42:AF42" si="11">IF(D34&lt;=$B$24,C42*(1+$B$23),0)</f>
        <v>-4010.8950000000004</v>
      </c>
      <c r="E42" s="99">
        <f t="shared" si="11"/>
        <v>-4291.657650000001</v>
      </c>
      <c r="F42" s="99">
        <f t="shared" si="11"/>
        <v>-4592.0736855000014</v>
      </c>
      <c r="G42" s="99">
        <f t="shared" si="11"/>
        <v>-4913.5188434850015</v>
      </c>
      <c r="H42" s="99">
        <f t="shared" si="11"/>
        <v>-5257.4651625289516</v>
      </c>
      <c r="I42" s="99">
        <f t="shared" si="11"/>
        <v>-5625.4877239059788</v>
      </c>
      <c r="J42" s="99">
        <f t="shared" si="11"/>
        <v>-6019.2718645793975</v>
      </c>
      <c r="K42" s="99">
        <f t="shared" si="11"/>
        <v>-6440.6208950999553</v>
      </c>
      <c r="L42" s="99">
        <f t="shared" si="11"/>
        <v>-6891.4643577569523</v>
      </c>
      <c r="M42" s="99">
        <f t="shared" si="11"/>
        <v>0</v>
      </c>
      <c r="N42" s="99">
        <f t="shared" si="11"/>
        <v>0</v>
      </c>
      <c r="O42" s="99">
        <f t="shared" si="11"/>
        <v>0</v>
      </c>
      <c r="P42" s="99">
        <f t="shared" si="11"/>
        <v>0</v>
      </c>
      <c r="Q42" s="99">
        <f t="shared" si="11"/>
        <v>0</v>
      </c>
      <c r="R42" s="99">
        <f t="shared" si="11"/>
        <v>0</v>
      </c>
      <c r="S42" s="99">
        <f t="shared" si="11"/>
        <v>0</v>
      </c>
      <c r="T42" s="99">
        <f t="shared" si="11"/>
        <v>0</v>
      </c>
      <c r="U42" s="99">
        <f t="shared" si="11"/>
        <v>0</v>
      </c>
      <c r="V42" s="99">
        <f t="shared" si="11"/>
        <v>0</v>
      </c>
      <c r="W42" s="99">
        <f t="shared" si="11"/>
        <v>0</v>
      </c>
      <c r="X42" s="99">
        <f t="shared" si="11"/>
        <v>0</v>
      </c>
      <c r="Y42" s="99">
        <f t="shared" si="11"/>
        <v>0</v>
      </c>
      <c r="Z42" s="99">
        <f t="shared" si="11"/>
        <v>0</v>
      </c>
      <c r="AA42" s="99">
        <f t="shared" si="11"/>
        <v>0</v>
      </c>
      <c r="AB42" s="99">
        <f t="shared" si="11"/>
        <v>0</v>
      </c>
      <c r="AC42" s="99">
        <f t="shared" si="11"/>
        <v>0</v>
      </c>
      <c r="AD42" s="99">
        <f t="shared" si="11"/>
        <v>0</v>
      </c>
      <c r="AE42" s="99">
        <f t="shared" si="11"/>
        <v>0</v>
      </c>
      <c r="AF42" s="19">
        <f t="shared" si="11"/>
        <v>0</v>
      </c>
    </row>
    <row r="43" spans="1:32" x14ac:dyDescent="0.25">
      <c r="A43" s="22" t="s">
        <v>46</v>
      </c>
      <c r="B43" s="98"/>
      <c r="C43" s="45">
        <f>IF(C34&lt;=$B$24,B18*12,0)</f>
        <v>0</v>
      </c>
      <c r="D43" s="45">
        <f t="shared" ref="D43:AF43" si="12">IF(D34&lt;=$B$24,C43*(1+$B$23),0)</f>
        <v>0</v>
      </c>
      <c r="E43" s="45">
        <f t="shared" si="12"/>
        <v>0</v>
      </c>
      <c r="F43" s="45">
        <f t="shared" si="12"/>
        <v>0</v>
      </c>
      <c r="G43" s="45">
        <f t="shared" si="12"/>
        <v>0</v>
      </c>
      <c r="H43" s="45">
        <f t="shared" si="12"/>
        <v>0</v>
      </c>
      <c r="I43" s="45">
        <f t="shared" si="12"/>
        <v>0</v>
      </c>
      <c r="J43" s="45">
        <f t="shared" si="12"/>
        <v>0</v>
      </c>
      <c r="K43" s="45">
        <f t="shared" si="12"/>
        <v>0</v>
      </c>
      <c r="L43" s="45">
        <f t="shared" si="12"/>
        <v>0</v>
      </c>
      <c r="M43" s="45">
        <f t="shared" si="12"/>
        <v>0</v>
      </c>
      <c r="N43" s="45">
        <f t="shared" si="12"/>
        <v>0</v>
      </c>
      <c r="O43" s="45">
        <f t="shared" si="12"/>
        <v>0</v>
      </c>
      <c r="P43" s="45">
        <f t="shared" si="12"/>
        <v>0</v>
      </c>
      <c r="Q43" s="45">
        <f t="shared" si="12"/>
        <v>0</v>
      </c>
      <c r="R43" s="45">
        <f t="shared" si="12"/>
        <v>0</v>
      </c>
      <c r="S43" s="45">
        <f t="shared" si="12"/>
        <v>0</v>
      </c>
      <c r="T43" s="45">
        <f t="shared" si="12"/>
        <v>0</v>
      </c>
      <c r="U43" s="45">
        <f t="shared" si="12"/>
        <v>0</v>
      </c>
      <c r="V43" s="45">
        <f t="shared" si="12"/>
        <v>0</v>
      </c>
      <c r="W43" s="45">
        <f t="shared" si="12"/>
        <v>0</v>
      </c>
      <c r="X43" s="45">
        <f t="shared" si="12"/>
        <v>0</v>
      </c>
      <c r="Y43" s="45">
        <f t="shared" si="12"/>
        <v>0</v>
      </c>
      <c r="Z43" s="45">
        <f t="shared" si="12"/>
        <v>0</v>
      </c>
      <c r="AA43" s="45">
        <f t="shared" si="12"/>
        <v>0</v>
      </c>
      <c r="AB43" s="45">
        <f t="shared" si="12"/>
        <v>0</v>
      </c>
      <c r="AC43" s="45">
        <f t="shared" si="12"/>
        <v>0</v>
      </c>
      <c r="AD43" s="45">
        <f t="shared" si="12"/>
        <v>0</v>
      </c>
      <c r="AE43" s="45">
        <f t="shared" si="12"/>
        <v>0</v>
      </c>
      <c r="AF43" s="101">
        <f t="shared" si="12"/>
        <v>0</v>
      </c>
    </row>
    <row r="44" spans="1:32" x14ac:dyDescent="0.25">
      <c r="A44" s="22" t="s">
        <v>115</v>
      </c>
      <c r="B44" s="98"/>
      <c r="C44" s="45">
        <f>IF(C34&lt;=$B$24,J3*12,0)</f>
        <v>20400</v>
      </c>
      <c r="D44" s="45">
        <f>IF(D34&lt;=$B$24,C44*(1+$B$23),0)</f>
        <v>21828</v>
      </c>
      <c r="E44" s="45">
        <f t="shared" ref="E44:AF44" si="13">IF(E34&lt;=$B$24,D44*(1+$B$23),0)</f>
        <v>23355.960000000003</v>
      </c>
      <c r="F44" s="45">
        <f t="shared" si="13"/>
        <v>24990.877200000003</v>
      </c>
      <c r="G44" s="45">
        <f t="shared" si="13"/>
        <v>26740.238604000006</v>
      </c>
      <c r="H44" s="45">
        <f t="shared" si="13"/>
        <v>28612.055306280006</v>
      </c>
      <c r="I44" s="45">
        <f t="shared" si="13"/>
        <v>30614.89917771961</v>
      </c>
      <c r="J44" s="45">
        <f t="shared" si="13"/>
        <v>32757.942120159983</v>
      </c>
      <c r="K44" s="45">
        <f t="shared" si="13"/>
        <v>35050.998068571185</v>
      </c>
      <c r="L44" s="45">
        <f t="shared" si="13"/>
        <v>37504.567933371167</v>
      </c>
      <c r="M44" s="45">
        <f t="shared" si="13"/>
        <v>0</v>
      </c>
      <c r="N44" s="45">
        <f t="shared" si="13"/>
        <v>0</v>
      </c>
      <c r="O44" s="45">
        <f t="shared" si="13"/>
        <v>0</v>
      </c>
      <c r="P44" s="45">
        <f t="shared" si="13"/>
        <v>0</v>
      </c>
      <c r="Q44" s="45">
        <f t="shared" si="13"/>
        <v>0</v>
      </c>
      <c r="R44" s="45">
        <f t="shared" si="13"/>
        <v>0</v>
      </c>
      <c r="S44" s="45">
        <f t="shared" si="13"/>
        <v>0</v>
      </c>
      <c r="T44" s="45">
        <f t="shared" si="13"/>
        <v>0</v>
      </c>
      <c r="U44" s="45">
        <f t="shared" si="13"/>
        <v>0</v>
      </c>
      <c r="V44" s="45">
        <f t="shared" si="13"/>
        <v>0</v>
      </c>
      <c r="W44" s="45">
        <f t="shared" si="13"/>
        <v>0</v>
      </c>
      <c r="X44" s="45">
        <f t="shared" si="13"/>
        <v>0</v>
      </c>
      <c r="Y44" s="45">
        <f t="shared" si="13"/>
        <v>0</v>
      </c>
      <c r="Z44" s="45">
        <f t="shared" si="13"/>
        <v>0</v>
      </c>
      <c r="AA44" s="45">
        <f t="shared" si="13"/>
        <v>0</v>
      </c>
      <c r="AB44" s="45">
        <f t="shared" si="13"/>
        <v>0</v>
      </c>
      <c r="AC44" s="45">
        <f t="shared" si="13"/>
        <v>0</v>
      </c>
      <c r="AD44" s="45">
        <f t="shared" si="13"/>
        <v>0</v>
      </c>
      <c r="AE44" s="45">
        <f t="shared" si="13"/>
        <v>0</v>
      </c>
      <c r="AF44" s="19">
        <f t="shared" si="13"/>
        <v>0</v>
      </c>
    </row>
    <row r="45" spans="1:32" x14ac:dyDescent="0.25">
      <c r="A45" s="5" t="s">
        <v>47</v>
      </c>
      <c r="B45" s="98"/>
      <c r="C45" s="99">
        <f t="shared" ref="C45:AF45" si="14">IF(C34&lt;=$B$24,IF(B29&gt;750000,$B$19*750000*$B$11,$B$19*C37*-1),0)</f>
        <v>2878.8479999999995</v>
      </c>
      <c r="D45" s="99">
        <f t="shared" si="14"/>
        <v>2842.4337064547003</v>
      </c>
      <c r="E45" s="99">
        <f t="shared" si="14"/>
        <v>2803.834555296683</v>
      </c>
      <c r="F45" s="99">
        <f t="shared" si="14"/>
        <v>2762.9194550691846</v>
      </c>
      <c r="G45" s="99">
        <f t="shared" si="14"/>
        <v>2719.549448828036</v>
      </c>
      <c r="H45" s="99">
        <f t="shared" si="14"/>
        <v>2673.5772422124192</v>
      </c>
      <c r="I45" s="99">
        <f t="shared" si="14"/>
        <v>2624.8467031998648</v>
      </c>
      <c r="J45" s="99">
        <f t="shared" si="14"/>
        <v>2573.192331846557</v>
      </c>
      <c r="K45" s="99">
        <f t="shared" si="14"/>
        <v>2518.4386982120513</v>
      </c>
      <c r="L45" s="99">
        <f t="shared" si="14"/>
        <v>2460.399846559475</v>
      </c>
      <c r="M45" s="99">
        <f t="shared" si="14"/>
        <v>0</v>
      </c>
      <c r="N45" s="99">
        <f t="shared" si="14"/>
        <v>0</v>
      </c>
      <c r="O45" s="99">
        <f t="shared" si="14"/>
        <v>0</v>
      </c>
      <c r="P45" s="99">
        <f t="shared" si="14"/>
        <v>0</v>
      </c>
      <c r="Q45" s="99">
        <f t="shared" si="14"/>
        <v>0</v>
      </c>
      <c r="R45" s="99">
        <f t="shared" si="14"/>
        <v>0</v>
      </c>
      <c r="S45" s="99">
        <f t="shared" si="14"/>
        <v>0</v>
      </c>
      <c r="T45" s="99">
        <f t="shared" si="14"/>
        <v>0</v>
      </c>
      <c r="U45" s="99">
        <f t="shared" si="14"/>
        <v>0</v>
      </c>
      <c r="V45" s="99">
        <f t="shared" si="14"/>
        <v>0</v>
      </c>
      <c r="W45" s="99">
        <f t="shared" si="14"/>
        <v>0</v>
      </c>
      <c r="X45" s="99">
        <f t="shared" si="14"/>
        <v>0</v>
      </c>
      <c r="Y45" s="99">
        <f t="shared" si="14"/>
        <v>0</v>
      </c>
      <c r="Z45" s="99">
        <f t="shared" si="14"/>
        <v>0</v>
      </c>
      <c r="AA45" s="99">
        <f t="shared" si="14"/>
        <v>0</v>
      </c>
      <c r="AB45" s="99">
        <f t="shared" si="14"/>
        <v>0</v>
      </c>
      <c r="AC45" s="99">
        <f t="shared" si="14"/>
        <v>0</v>
      </c>
      <c r="AD45" s="99">
        <f t="shared" si="14"/>
        <v>0</v>
      </c>
      <c r="AE45" s="99">
        <f t="shared" si="14"/>
        <v>0</v>
      </c>
      <c r="AF45" s="19">
        <f t="shared" si="14"/>
        <v>0</v>
      </c>
    </row>
    <row r="46" spans="1:32" x14ac:dyDescent="0.25">
      <c r="A46" s="23" t="s">
        <v>48</v>
      </c>
      <c r="B46" s="98"/>
      <c r="C46" s="99">
        <f t="shared" ref="C46:AF46" si="15">IF(C34&lt;$B$24,IF(C33&lt;$E$15,-C45,-$B$19*MAX(0,$E$15-(C33-C45/$B$19))),0)</f>
        <v>-392.00255999999979</v>
      </c>
      <c r="D46" s="99">
        <f t="shared" si="15"/>
        <v>-354.28965119999947</v>
      </c>
      <c r="E46" s="99">
        <f t="shared" si="15"/>
        <v>-315.82248422399931</v>
      </c>
      <c r="F46" s="99">
        <f t="shared" si="15"/>
        <v>-276.58597390847979</v>
      </c>
      <c r="G46" s="99">
        <f t="shared" si="15"/>
        <v>-236.56473338664929</v>
      </c>
      <c r="H46" s="99">
        <f t="shared" si="15"/>
        <v>-195.74306805438215</v>
      </c>
      <c r="I46" s="99">
        <f t="shared" si="15"/>
        <v>-154.10496941546981</v>
      </c>
      <c r="J46" s="99">
        <f t="shared" si="15"/>
        <v>-111.63410880377981</v>
      </c>
      <c r="K46" s="99">
        <f t="shared" si="15"/>
        <v>-68.31383097985541</v>
      </c>
      <c r="L46" s="99">
        <f t="shared" si="15"/>
        <v>0</v>
      </c>
      <c r="M46" s="99">
        <f t="shared" si="15"/>
        <v>0</v>
      </c>
      <c r="N46" s="99">
        <f t="shared" si="15"/>
        <v>0</v>
      </c>
      <c r="O46" s="99">
        <f t="shared" si="15"/>
        <v>0</v>
      </c>
      <c r="P46" s="99">
        <f t="shared" si="15"/>
        <v>0</v>
      </c>
      <c r="Q46" s="99">
        <f t="shared" si="15"/>
        <v>0</v>
      </c>
      <c r="R46" s="99">
        <f t="shared" si="15"/>
        <v>0</v>
      </c>
      <c r="S46" s="99">
        <f t="shared" si="15"/>
        <v>0</v>
      </c>
      <c r="T46" s="99">
        <f t="shared" si="15"/>
        <v>0</v>
      </c>
      <c r="U46" s="99">
        <f t="shared" si="15"/>
        <v>0</v>
      </c>
      <c r="V46" s="99">
        <f t="shared" si="15"/>
        <v>0</v>
      </c>
      <c r="W46" s="99">
        <f t="shared" si="15"/>
        <v>0</v>
      </c>
      <c r="X46" s="99">
        <f t="shared" si="15"/>
        <v>0</v>
      </c>
      <c r="Y46" s="99">
        <f t="shared" si="15"/>
        <v>0</v>
      </c>
      <c r="Z46" s="99">
        <f t="shared" si="15"/>
        <v>0</v>
      </c>
      <c r="AA46" s="99">
        <f t="shared" si="15"/>
        <v>0</v>
      </c>
      <c r="AB46" s="99">
        <f t="shared" si="15"/>
        <v>0</v>
      </c>
      <c r="AC46" s="99">
        <f t="shared" si="15"/>
        <v>0</v>
      </c>
      <c r="AD46" s="99">
        <f t="shared" si="15"/>
        <v>0</v>
      </c>
      <c r="AE46" s="99">
        <f t="shared" si="15"/>
        <v>0</v>
      </c>
      <c r="AF46" s="19">
        <f t="shared" si="15"/>
        <v>0</v>
      </c>
    </row>
    <row r="47" spans="1:32" x14ac:dyDescent="0.25">
      <c r="A47" s="5" t="s">
        <v>49</v>
      </c>
      <c r="B47" s="98"/>
      <c r="C47" s="99">
        <f t="shared" ref="C47:AF47" si="16">IF(C34&lt;=$B$24,IF(C33&lt;$E$15,0,MIN(MAX(0,$D$19-$E$14),-C40)*$B$19),0)</f>
        <v>1885.64544</v>
      </c>
      <c r="D47" s="99">
        <f t="shared" si="16"/>
        <v>1923.3583488000002</v>
      </c>
      <c r="E47" s="99">
        <f t="shared" si="16"/>
        <v>1961.8255157760002</v>
      </c>
      <c r="F47" s="99">
        <f t="shared" si="16"/>
        <v>2001.0620260915202</v>
      </c>
      <c r="G47" s="99">
        <f t="shared" si="16"/>
        <v>2041.0832666133504</v>
      </c>
      <c r="H47" s="99">
        <f t="shared" si="16"/>
        <v>2081.9049319456176</v>
      </c>
      <c r="I47" s="99">
        <f t="shared" si="16"/>
        <v>2123.5430305845298</v>
      </c>
      <c r="J47" s="99">
        <f t="shared" si="16"/>
        <v>2166.0138911962208</v>
      </c>
      <c r="K47" s="99">
        <f t="shared" si="16"/>
        <v>2209.3341690201446</v>
      </c>
      <c r="L47" s="99">
        <f t="shared" si="16"/>
        <v>2253.5208524005475</v>
      </c>
      <c r="M47" s="99">
        <f t="shared" si="16"/>
        <v>0</v>
      </c>
      <c r="N47" s="99">
        <f t="shared" si="16"/>
        <v>0</v>
      </c>
      <c r="O47" s="99">
        <f t="shared" si="16"/>
        <v>0</v>
      </c>
      <c r="P47" s="99">
        <f t="shared" si="16"/>
        <v>0</v>
      </c>
      <c r="Q47" s="99">
        <f t="shared" si="16"/>
        <v>0</v>
      </c>
      <c r="R47" s="99">
        <f t="shared" si="16"/>
        <v>0</v>
      </c>
      <c r="S47" s="99">
        <f t="shared" si="16"/>
        <v>0</v>
      </c>
      <c r="T47" s="99">
        <f t="shared" si="16"/>
        <v>0</v>
      </c>
      <c r="U47" s="99">
        <f t="shared" si="16"/>
        <v>0</v>
      </c>
      <c r="V47" s="99">
        <f t="shared" si="16"/>
        <v>0</v>
      </c>
      <c r="W47" s="99">
        <f t="shared" si="16"/>
        <v>0</v>
      </c>
      <c r="X47" s="99">
        <f t="shared" si="16"/>
        <v>0</v>
      </c>
      <c r="Y47" s="99">
        <f t="shared" si="16"/>
        <v>0</v>
      </c>
      <c r="Z47" s="99">
        <f t="shared" si="16"/>
        <v>0</v>
      </c>
      <c r="AA47" s="99">
        <f t="shared" si="16"/>
        <v>0</v>
      </c>
      <c r="AB47" s="99">
        <f t="shared" si="16"/>
        <v>0</v>
      </c>
      <c r="AC47" s="99">
        <f t="shared" si="16"/>
        <v>0</v>
      </c>
      <c r="AD47" s="99">
        <f t="shared" si="16"/>
        <v>0</v>
      </c>
      <c r="AE47" s="99">
        <f t="shared" si="16"/>
        <v>0</v>
      </c>
      <c r="AF47" s="19">
        <f t="shared" si="16"/>
        <v>0</v>
      </c>
    </row>
    <row r="48" spans="1:32" x14ac:dyDescent="0.25">
      <c r="A48" s="5" t="s">
        <v>50</v>
      </c>
      <c r="B48" s="98"/>
      <c r="C48" s="99">
        <f t="shared" ref="C48:AF48" si="17">IF(C34=$B$24,C28-C29,0)</f>
        <v>0</v>
      </c>
      <c r="D48" s="99">
        <f t="shared" si="17"/>
        <v>0</v>
      </c>
      <c r="E48" s="99">
        <f t="shared" si="17"/>
        <v>0</v>
      </c>
      <c r="F48" s="99">
        <f t="shared" si="17"/>
        <v>0</v>
      </c>
      <c r="G48" s="99">
        <f t="shared" si="17"/>
        <v>0</v>
      </c>
      <c r="H48" s="99">
        <f t="shared" si="17"/>
        <v>0</v>
      </c>
      <c r="I48" s="99">
        <f t="shared" si="17"/>
        <v>0</v>
      </c>
      <c r="J48" s="99">
        <f t="shared" si="17"/>
        <v>0</v>
      </c>
      <c r="K48" s="99">
        <f t="shared" si="17"/>
        <v>0</v>
      </c>
      <c r="L48" s="99">
        <f t="shared" si="17"/>
        <v>138037.90945892982</v>
      </c>
      <c r="M48" s="99">
        <f t="shared" si="17"/>
        <v>0</v>
      </c>
      <c r="N48" s="99">
        <f t="shared" si="17"/>
        <v>0</v>
      </c>
      <c r="O48" s="99">
        <f t="shared" si="17"/>
        <v>0</v>
      </c>
      <c r="P48" s="99">
        <f t="shared" si="17"/>
        <v>0</v>
      </c>
      <c r="Q48" s="99">
        <f t="shared" si="17"/>
        <v>0</v>
      </c>
      <c r="R48" s="99">
        <f t="shared" si="17"/>
        <v>0</v>
      </c>
      <c r="S48" s="99">
        <f t="shared" si="17"/>
        <v>0</v>
      </c>
      <c r="T48" s="99">
        <f t="shared" si="17"/>
        <v>0</v>
      </c>
      <c r="U48" s="99">
        <f t="shared" si="17"/>
        <v>0</v>
      </c>
      <c r="V48" s="99">
        <f t="shared" si="17"/>
        <v>0</v>
      </c>
      <c r="W48" s="99">
        <f t="shared" si="17"/>
        <v>0</v>
      </c>
      <c r="X48" s="99">
        <f t="shared" si="17"/>
        <v>0</v>
      </c>
      <c r="Y48" s="99">
        <f t="shared" si="17"/>
        <v>0</v>
      </c>
      <c r="Z48" s="99">
        <f t="shared" si="17"/>
        <v>0</v>
      </c>
      <c r="AA48" s="99">
        <f t="shared" si="17"/>
        <v>0</v>
      </c>
      <c r="AB48" s="99">
        <f t="shared" si="17"/>
        <v>0</v>
      </c>
      <c r="AC48" s="99">
        <f t="shared" si="17"/>
        <v>0</v>
      </c>
      <c r="AD48" s="99">
        <f t="shared" si="17"/>
        <v>0</v>
      </c>
      <c r="AE48" s="99">
        <f t="shared" si="17"/>
        <v>0</v>
      </c>
      <c r="AF48" s="19">
        <f t="shared" si="17"/>
        <v>0</v>
      </c>
    </row>
    <row r="49" spans="1:33" ht="15.75" thickBot="1" x14ac:dyDescent="0.3">
      <c r="A49" s="6" t="s">
        <v>51</v>
      </c>
      <c r="B49" s="24"/>
      <c r="C49" s="25">
        <f>IF(C34=$B$24,-C28*$B$25,0)</f>
        <v>0</v>
      </c>
      <c r="D49" s="25">
        <f t="shared" ref="D49:AF49" si="18">IF(D34=$B$24,-D28*$B$25,0)</f>
        <v>0</v>
      </c>
      <c r="E49" s="25">
        <f t="shared" si="18"/>
        <v>0</v>
      </c>
      <c r="F49" s="25">
        <f t="shared" si="18"/>
        <v>0</v>
      </c>
      <c r="G49" s="25">
        <f t="shared" si="18"/>
        <v>0</v>
      </c>
      <c r="H49" s="25">
        <f t="shared" si="18"/>
        <v>0</v>
      </c>
      <c r="I49" s="25">
        <f t="shared" si="18"/>
        <v>0</v>
      </c>
      <c r="J49" s="25">
        <f t="shared" si="18"/>
        <v>0</v>
      </c>
      <c r="K49" s="25">
        <f t="shared" si="18"/>
        <v>0</v>
      </c>
      <c r="L49" s="25">
        <f t="shared" si="18"/>
        <v>-21323.869388968291</v>
      </c>
      <c r="M49" s="25">
        <f t="shared" si="18"/>
        <v>0</v>
      </c>
      <c r="N49" s="25">
        <f t="shared" si="18"/>
        <v>0</v>
      </c>
      <c r="O49" s="25">
        <f t="shared" si="18"/>
        <v>0</v>
      </c>
      <c r="P49" s="25">
        <f t="shared" si="18"/>
        <v>0</v>
      </c>
      <c r="Q49" s="25">
        <f t="shared" si="18"/>
        <v>0</v>
      </c>
      <c r="R49" s="25">
        <f t="shared" si="18"/>
        <v>0</v>
      </c>
      <c r="S49" s="25">
        <f t="shared" si="18"/>
        <v>0</v>
      </c>
      <c r="T49" s="25">
        <f t="shared" si="18"/>
        <v>0</v>
      </c>
      <c r="U49" s="25">
        <f t="shared" si="18"/>
        <v>0</v>
      </c>
      <c r="V49" s="25">
        <f t="shared" si="18"/>
        <v>0</v>
      </c>
      <c r="W49" s="25">
        <f t="shared" si="18"/>
        <v>0</v>
      </c>
      <c r="X49" s="25">
        <f t="shared" si="18"/>
        <v>0</v>
      </c>
      <c r="Y49" s="25">
        <f t="shared" si="18"/>
        <v>0</v>
      </c>
      <c r="Z49" s="25">
        <f t="shared" si="18"/>
        <v>0</v>
      </c>
      <c r="AA49" s="25">
        <f t="shared" si="18"/>
        <v>0</v>
      </c>
      <c r="AB49" s="25">
        <f t="shared" si="18"/>
        <v>0</v>
      </c>
      <c r="AC49" s="25">
        <f t="shared" si="18"/>
        <v>0</v>
      </c>
      <c r="AD49" s="25">
        <f t="shared" si="18"/>
        <v>0</v>
      </c>
      <c r="AE49" s="25">
        <f t="shared" si="18"/>
        <v>0</v>
      </c>
      <c r="AF49" s="26">
        <f t="shared" si="18"/>
        <v>0</v>
      </c>
    </row>
    <row r="50" spans="1:33" x14ac:dyDescent="0.25">
      <c r="A50" s="1" t="s">
        <v>52</v>
      </c>
      <c r="B50" s="45">
        <f>SUM(B35:B49)</f>
        <v>-57477</v>
      </c>
      <c r="C50" s="45">
        <f>SUM(C35:C49)</f>
        <v>-2981.1855050902386</v>
      </c>
      <c r="D50" s="45">
        <f t="shared" ref="D50:AF50" si="19">SUM(D35:D49)</f>
        <v>-2047.410601035541</v>
      </c>
      <c r="E50" s="45">
        <f t="shared" si="19"/>
        <v>-1043.8217456415548</v>
      </c>
      <c r="F50" s="45">
        <f t="shared" si="19"/>
        <v>34.571597563985961</v>
      </c>
      <c r="G50" s="45">
        <f t="shared" si="19"/>
        <v>1193.1122477470376</v>
      </c>
      <c r="H50" s="45">
        <f t="shared" si="19"/>
        <v>2437.5200778951844</v>
      </c>
      <c r="I50" s="45">
        <f t="shared" si="19"/>
        <v>3773.9185252975158</v>
      </c>
      <c r="J50" s="45">
        <f t="shared" si="19"/>
        <v>5208.8629634273511</v>
      </c>
      <c r="K50" s="45">
        <f t="shared" si="19"/>
        <v>6749.3710658394157</v>
      </c>
      <c r="L50" s="45">
        <f t="shared" si="19"/>
        <v>125141.12251941524</v>
      </c>
      <c r="M50" s="45">
        <f t="shared" si="19"/>
        <v>0</v>
      </c>
      <c r="N50" s="45">
        <f t="shared" si="19"/>
        <v>0</v>
      </c>
      <c r="O50" s="45">
        <f t="shared" si="19"/>
        <v>0</v>
      </c>
      <c r="P50" s="45">
        <f t="shared" si="19"/>
        <v>0</v>
      </c>
      <c r="Q50" s="45">
        <f t="shared" si="19"/>
        <v>0</v>
      </c>
      <c r="R50" s="45">
        <f t="shared" si="19"/>
        <v>0</v>
      </c>
      <c r="S50" s="45">
        <f t="shared" si="19"/>
        <v>0</v>
      </c>
      <c r="T50" s="45">
        <f t="shared" si="19"/>
        <v>0</v>
      </c>
      <c r="U50" s="45">
        <f t="shared" si="19"/>
        <v>0</v>
      </c>
      <c r="V50" s="45">
        <f t="shared" si="19"/>
        <v>0</v>
      </c>
      <c r="W50" s="45">
        <f t="shared" si="19"/>
        <v>0</v>
      </c>
      <c r="X50" s="45">
        <f t="shared" si="19"/>
        <v>0</v>
      </c>
      <c r="Y50" s="45">
        <f t="shared" si="19"/>
        <v>0</v>
      </c>
      <c r="Z50" s="45">
        <f t="shared" si="19"/>
        <v>0</v>
      </c>
      <c r="AA50" s="45">
        <f t="shared" si="19"/>
        <v>0</v>
      </c>
      <c r="AB50" s="45">
        <f t="shared" si="19"/>
        <v>0</v>
      </c>
      <c r="AC50" s="45">
        <f t="shared" si="19"/>
        <v>0</v>
      </c>
      <c r="AD50" s="45">
        <f t="shared" si="19"/>
        <v>0</v>
      </c>
      <c r="AE50" s="45">
        <f t="shared" si="19"/>
        <v>0</v>
      </c>
      <c r="AF50" s="45">
        <f t="shared" si="19"/>
        <v>0</v>
      </c>
      <c r="AG50" s="1"/>
    </row>
    <row r="51" spans="1:33" x14ac:dyDescent="0.25">
      <c r="A51" t="s">
        <v>53</v>
      </c>
      <c r="C51" s="3">
        <f t="shared" ref="C51:AF51" si="20">C50-C43</f>
        <v>-2981.1855050902386</v>
      </c>
      <c r="D51" s="3">
        <f t="shared" si="20"/>
        <v>-2047.410601035541</v>
      </c>
      <c r="E51" s="3">
        <f t="shared" si="20"/>
        <v>-1043.8217456415548</v>
      </c>
      <c r="F51" s="3">
        <f t="shared" si="20"/>
        <v>34.571597563985961</v>
      </c>
      <c r="G51" s="3">
        <f t="shared" si="20"/>
        <v>1193.1122477470376</v>
      </c>
      <c r="H51" s="3">
        <f t="shared" si="20"/>
        <v>2437.5200778951844</v>
      </c>
      <c r="I51" s="3">
        <f t="shared" si="20"/>
        <v>3773.9185252975158</v>
      </c>
      <c r="J51" s="3">
        <f t="shared" si="20"/>
        <v>5208.8629634273511</v>
      </c>
      <c r="K51" s="3">
        <f t="shared" si="20"/>
        <v>6749.3710658394157</v>
      </c>
      <c r="L51" s="3">
        <f t="shared" si="20"/>
        <v>125141.12251941524</v>
      </c>
      <c r="M51" s="3">
        <f t="shared" si="20"/>
        <v>0</v>
      </c>
      <c r="N51" s="3">
        <f t="shared" si="20"/>
        <v>0</v>
      </c>
      <c r="O51" s="3">
        <f t="shared" si="20"/>
        <v>0</v>
      </c>
      <c r="P51" s="3">
        <f t="shared" si="20"/>
        <v>0</v>
      </c>
      <c r="Q51" s="3">
        <f t="shared" si="20"/>
        <v>0</v>
      </c>
      <c r="R51" s="3">
        <f t="shared" si="20"/>
        <v>0</v>
      </c>
      <c r="S51" s="3">
        <f t="shared" si="20"/>
        <v>0</v>
      </c>
      <c r="T51" s="3">
        <f t="shared" si="20"/>
        <v>0</v>
      </c>
      <c r="U51" s="3">
        <f t="shared" si="20"/>
        <v>0</v>
      </c>
      <c r="V51" s="3">
        <f t="shared" si="20"/>
        <v>0</v>
      </c>
      <c r="W51" s="3">
        <f t="shared" si="20"/>
        <v>0</v>
      </c>
      <c r="X51" s="3">
        <f t="shared" si="20"/>
        <v>0</v>
      </c>
      <c r="Y51" s="3">
        <f t="shared" si="20"/>
        <v>0</v>
      </c>
      <c r="Z51" s="3">
        <f t="shared" si="20"/>
        <v>0</v>
      </c>
      <c r="AA51" s="3">
        <f t="shared" si="20"/>
        <v>0</v>
      </c>
      <c r="AB51" s="3">
        <f t="shared" si="20"/>
        <v>0</v>
      </c>
      <c r="AC51" s="3">
        <f t="shared" si="20"/>
        <v>0</v>
      </c>
      <c r="AD51" s="3">
        <f t="shared" si="20"/>
        <v>0</v>
      </c>
      <c r="AE51" s="3">
        <f t="shared" si="20"/>
        <v>0</v>
      </c>
      <c r="AF51" s="3">
        <f t="shared" si="20"/>
        <v>0</v>
      </c>
    </row>
    <row r="52" spans="1:33" x14ac:dyDescent="0.25">
      <c r="A52" s="8" t="s">
        <v>54</v>
      </c>
      <c r="B52" s="9">
        <f>IRR(B50:AF50,6%)</f>
        <v>9.0291562831440908E-2</v>
      </c>
      <c r="C52" s="14">
        <f>((1-0.35)*E8)-(800*12)+C51-(200*12)</f>
        <v>-14890.185505090238</v>
      </c>
      <c r="D52" s="3">
        <f>D51/12</f>
        <v>-170.6175500862951</v>
      </c>
      <c r="E52" s="3">
        <f t="shared" ref="E52:H52" si="21">E51/12</f>
        <v>-86.985145470129567</v>
      </c>
      <c r="F52" s="3">
        <f t="shared" si="21"/>
        <v>2.8809664636654966</v>
      </c>
      <c r="G52" s="3">
        <f t="shared" si="21"/>
        <v>99.426020645586462</v>
      </c>
      <c r="H52" s="3">
        <f t="shared" si="21"/>
        <v>203.12667315793203</v>
      </c>
      <c r="I52" s="3">
        <f t="shared" ref="I52" si="22">I51/12</f>
        <v>314.49321044145967</v>
      </c>
      <c r="J52" s="3">
        <f t="shared" ref="J52" si="23">J51/12</f>
        <v>434.07191361894593</v>
      </c>
      <c r="K52" s="3">
        <f t="shared" ref="K52:L52" si="24">K51/12</f>
        <v>562.44758881995131</v>
      </c>
      <c r="L52" s="3">
        <f t="shared" si="24"/>
        <v>10428.426876617936</v>
      </c>
    </row>
    <row r="53" spans="1:33" x14ac:dyDescent="0.25">
      <c r="B53" t="s">
        <v>121</v>
      </c>
      <c r="C53" s="3">
        <f>+C37+C39+C40+C41+C42</f>
        <v>-25224.905999999999</v>
      </c>
      <c r="D53" s="15"/>
      <c r="E53" s="15">
        <f t="shared" ref="E53:L53" si="25">E50/12</f>
        <v>-86.985145470129567</v>
      </c>
      <c r="F53" s="15">
        <f t="shared" si="25"/>
        <v>2.8809664636654966</v>
      </c>
      <c r="G53" s="15">
        <f t="shared" si="25"/>
        <v>99.426020645586462</v>
      </c>
      <c r="H53" s="15">
        <f t="shared" si="25"/>
        <v>203.12667315793203</v>
      </c>
      <c r="I53" s="15">
        <f t="shared" si="25"/>
        <v>314.49321044145967</v>
      </c>
      <c r="J53" s="15">
        <f t="shared" si="25"/>
        <v>434.07191361894593</v>
      </c>
      <c r="K53" s="15">
        <f t="shared" si="25"/>
        <v>562.44758881995131</v>
      </c>
      <c r="L53" s="15">
        <f t="shared" si="25"/>
        <v>10428.426876617936</v>
      </c>
      <c r="M53" s="15"/>
      <c r="N53" s="15"/>
      <c r="O53" s="15"/>
      <c r="P53" s="15"/>
    </row>
    <row r="54" spans="1:33" x14ac:dyDescent="0.25">
      <c r="B54" s="13"/>
      <c r="C54" s="13"/>
    </row>
    <row r="55" spans="1:33" x14ac:dyDescent="0.25">
      <c r="C55" s="13">
        <v>27200</v>
      </c>
    </row>
    <row r="56" spans="1:33" x14ac:dyDescent="0.25">
      <c r="A56" t="s">
        <v>116</v>
      </c>
      <c r="C56">
        <v>25600</v>
      </c>
      <c r="R56" s="12"/>
      <c r="T56" s="11"/>
    </row>
    <row r="57" spans="1:33" ht="15.75" thickBot="1" x14ac:dyDescent="0.3">
      <c r="A57" s="1" t="s">
        <v>55</v>
      </c>
      <c r="B57" s="14"/>
      <c r="C57" s="14">
        <f>C55-C56</f>
        <v>1600</v>
      </c>
    </row>
    <row r="58" spans="1:33" x14ac:dyDescent="0.25">
      <c r="A58" s="49" t="str">
        <f>"coumpounding interest FV%= (1+r^n)-1,  r=growth rate, n=# yrs owned"</f>
        <v>coumpounding interest FV%= (1+r^n)-1,  r=growth rate, n=# yrs owned</v>
      </c>
      <c r="B58" s="50"/>
      <c r="D58" s="16" t="s">
        <v>120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08"/>
    </row>
    <row r="59" spans="1:33" x14ac:dyDescent="0.25">
      <c r="A59" s="51" t="s">
        <v>56</v>
      </c>
      <c r="B59" s="52">
        <f>((1+B65)^$B$24)-1</f>
        <v>1.5937424601000019</v>
      </c>
      <c r="D59" s="5"/>
      <c r="F59" s="46" t="s">
        <v>8</v>
      </c>
      <c r="G59" s="46"/>
      <c r="O59" s="27"/>
      <c r="P59" s="27"/>
      <c r="Q59" s="27"/>
      <c r="R59" s="109"/>
      <c r="S59" s="27"/>
      <c r="T59" s="27"/>
      <c r="U59" s="27"/>
      <c r="V59" s="27"/>
      <c r="W59" s="27"/>
    </row>
    <row r="60" spans="1:33" x14ac:dyDescent="0.25">
      <c r="A60" s="51" t="s">
        <v>57</v>
      </c>
      <c r="B60" s="53">
        <f>B59*ABS($B$50)</f>
        <v>91603.535379167806</v>
      </c>
      <c r="D60" s="5"/>
      <c r="E60" s="110">
        <f>+H3</f>
        <v>552258.81860563951</v>
      </c>
      <c r="F60" s="111">
        <v>350000</v>
      </c>
      <c r="G60" s="111">
        <v>400000</v>
      </c>
      <c r="H60" s="111">
        <v>450000</v>
      </c>
      <c r="I60" s="111">
        <v>475000</v>
      </c>
      <c r="J60" s="111">
        <v>500000</v>
      </c>
      <c r="K60" s="111">
        <v>525000</v>
      </c>
      <c r="L60" s="111">
        <v>550000</v>
      </c>
      <c r="M60" s="111">
        <v>575000</v>
      </c>
      <c r="N60" s="111">
        <v>600000</v>
      </c>
      <c r="O60" s="111">
        <v>625000</v>
      </c>
      <c r="P60" s="111">
        <v>650000</v>
      </c>
      <c r="Q60" s="111">
        <v>675000</v>
      </c>
      <c r="R60" s="44">
        <v>700000</v>
      </c>
      <c r="S60" s="27"/>
      <c r="T60" s="27"/>
      <c r="U60" s="27"/>
      <c r="V60" s="27"/>
      <c r="W60" s="27"/>
    </row>
    <row r="61" spans="1:33" ht="15" customHeight="1" thickBot="1" x14ac:dyDescent="0.3">
      <c r="A61" s="51" t="str">
        <f>"Gross After "&amp; $B$24 &amp;" yrs"</f>
        <v>Gross After 10 yrs</v>
      </c>
      <c r="B61" s="54">
        <f>B60-$B$50</f>
        <v>149080.53537916782</v>
      </c>
      <c r="D61" s="116" t="s">
        <v>119</v>
      </c>
      <c r="E61" s="115">
        <v>800</v>
      </c>
      <c r="F61" s="112">
        <f t="dataTable" ref="F61:R76" dt2D="1" dtr="1" r1="D1" r2="J3"/>
        <v>125645.24313539197</v>
      </c>
      <c r="G61" s="112">
        <v>36691.680705502513</v>
      </c>
      <c r="H61" s="112">
        <v>-52255.59956275599</v>
      </c>
      <c r="I61" s="112">
        <v>-96727.776078425726</v>
      </c>
      <c r="J61" s="112">
        <v>-141199.26753341412</v>
      </c>
      <c r="K61" s="112">
        <v>-185670.22329746035</v>
      </c>
      <c r="L61" s="112">
        <v>-230140.75634630409</v>
      </c>
      <c r="M61" s="112">
        <v>-274610.95313402038</v>
      </c>
      <c r="N61" s="112">
        <v>-319080.88052270666</v>
      </c>
      <c r="O61" s="27">
        <v>-363550.59072115633</v>
      </c>
      <c r="P61" s="27">
        <v>-408020.12485386361</v>
      </c>
      <c r="Q61" s="27">
        <v>-452489.51557327667</v>
      </c>
      <c r="R61" s="109">
        <v>-496958.7889943691</v>
      </c>
      <c r="S61" s="27"/>
      <c r="T61" s="27"/>
      <c r="U61" s="27"/>
      <c r="V61" s="27"/>
      <c r="W61" s="27"/>
    </row>
    <row r="62" spans="1:33" ht="15.75" thickBot="1" x14ac:dyDescent="0.3">
      <c r="A62" s="51" t="s">
        <v>58</v>
      </c>
      <c r="B62" s="95">
        <v>30000</v>
      </c>
      <c r="C62" s="3"/>
      <c r="D62" s="5"/>
      <c r="E62" s="115">
        <v>1300</v>
      </c>
      <c r="F62" s="112">
        <v>268885.47570074635</v>
      </c>
      <c r="G62" s="112">
        <v>179918.18435350381</v>
      </c>
      <c r="H62" s="112">
        <v>90967.155137374066</v>
      </c>
      <c r="I62" s="112">
        <v>46495.205267431214</v>
      </c>
      <c r="J62" s="112">
        <v>2024.8253074325621</v>
      </c>
      <c r="K62" s="112">
        <v>-42444.389159281214</v>
      </c>
      <c r="L62" s="112">
        <v>-86912.737348565279</v>
      </c>
      <c r="M62" s="112">
        <v>-131380.44264540129</v>
      </c>
      <c r="N62" s="112">
        <v>-175847.67313062912</v>
      </c>
      <c r="O62" s="27">
        <v>-220314.55612035474</v>
      </c>
      <c r="P62" s="27">
        <v>-264781.18859171687</v>
      </c>
      <c r="Q62" s="27">
        <v>-309247.6447440632</v>
      </c>
      <c r="R62" s="109">
        <v>-353713.98154016875</v>
      </c>
      <c r="S62" s="27"/>
      <c r="T62" s="27"/>
      <c r="U62" s="27"/>
      <c r="V62" s="27"/>
      <c r="W62" s="27"/>
    </row>
    <row r="63" spans="1:33" x14ac:dyDescent="0.25">
      <c r="A63" s="51" t="s">
        <v>59</v>
      </c>
      <c r="B63" s="53">
        <f>-(AVERAGEIF($B$50:$AF$50,"&lt;&gt;0"))</f>
        <v>-7362.6419223107632</v>
      </c>
      <c r="C63" s="3"/>
      <c r="D63" s="5"/>
      <c r="E63" s="115">
        <v>1500</v>
      </c>
      <c r="F63" s="112">
        <v>326178.79024759738</v>
      </c>
      <c r="G63" s="112">
        <v>237197.65594278881</v>
      </c>
      <c r="H63" s="112">
        <v>148240.33725897683</v>
      </c>
      <c r="I63" s="112">
        <v>103766.92758527619</v>
      </c>
      <c r="J63" s="112">
        <v>59295.837258346961</v>
      </c>
      <c r="K63" s="112">
        <v>14826.471855875803</v>
      </c>
      <c r="L63" s="112">
        <v>-29641.60954374593</v>
      </c>
      <c r="M63" s="112">
        <v>-74108.736815138953</v>
      </c>
      <c r="N63" s="112">
        <v>-118575.15860152646</v>
      </c>
      <c r="O63" s="27">
        <v>-163041.06351942554</v>
      </c>
      <c r="P63" s="27">
        <v>-207506.59541623047</v>
      </c>
      <c r="Q63" s="27">
        <v>-251971.86446765144</v>
      </c>
      <c r="R63" s="109">
        <v>-296436.95533058554</v>
      </c>
      <c r="S63" s="27"/>
      <c r="T63" s="27"/>
      <c r="U63" s="27"/>
      <c r="V63" s="27"/>
      <c r="W63" s="27"/>
    </row>
    <row r="64" spans="1:33" ht="15.75" thickBot="1" x14ac:dyDescent="0.3">
      <c r="A64" s="51" t="s">
        <v>60</v>
      </c>
      <c r="B64" s="55"/>
      <c r="C64" s="3"/>
      <c r="D64" s="5"/>
      <c r="E64" s="115">
        <f>+E63+500</f>
        <v>2000</v>
      </c>
      <c r="F64" s="112">
        <v>469461.08902834705</v>
      </c>
      <c r="G64" s="112">
        <v>380412.48554945877</v>
      </c>
      <c r="H64" s="112">
        <v>291418.33991303539</v>
      </c>
      <c r="I64" s="112">
        <v>246933.72465083725</v>
      </c>
      <c r="J64" s="112">
        <v>202454.77597798436</v>
      </c>
      <c r="K64" s="112">
        <v>157980.13499835564</v>
      </c>
      <c r="L64" s="112">
        <v>113508.77798180957</v>
      </c>
      <c r="M64" s="112">
        <v>69039.927691262157</v>
      </c>
      <c r="N64" s="112">
        <v>24572.989877481479</v>
      </c>
      <c r="O64" s="27">
        <v>-19892.49266264512</v>
      </c>
      <c r="P64" s="27">
        <v>-64356.873644871754</v>
      </c>
      <c r="Q64" s="27">
        <v>-108820.42803783942</v>
      </c>
      <c r="R64" s="109">
        <v>-153283.37046180607</v>
      </c>
      <c r="S64" s="27"/>
      <c r="T64" s="27"/>
      <c r="U64" s="27"/>
      <c r="V64" s="27"/>
      <c r="W64" s="27"/>
    </row>
    <row r="65" spans="1:23" ht="15.75" thickBot="1" x14ac:dyDescent="0.3">
      <c r="A65" s="51" t="s">
        <v>61</v>
      </c>
      <c r="B65" s="96">
        <v>0.1</v>
      </c>
      <c r="D65" s="5"/>
      <c r="E65" s="115">
        <f t="shared" ref="E65:E76" si="26">+E64+250</f>
        <v>2250</v>
      </c>
      <c r="F65" s="112">
        <v>541150.14504390932</v>
      </c>
      <c r="G65" s="112">
        <v>452046.54062855907</v>
      </c>
      <c r="H65" s="112">
        <v>363019.44776548806</v>
      </c>
      <c r="I65" s="112">
        <v>318523.79096769309</v>
      </c>
      <c r="J65" s="112">
        <v>274036.4092466369</v>
      </c>
      <c r="K65" s="112">
        <v>229555.3957224972</v>
      </c>
      <c r="L65" s="112">
        <v>185079.30009213655</v>
      </c>
      <c r="M65" s="112">
        <v>140607.01135743997</v>
      </c>
      <c r="N65" s="112">
        <v>96137.672768079094</v>
      </c>
      <c r="O65" s="27">
        <v>51670.619606392924</v>
      </c>
      <c r="P65" s="27">
        <v>7205.3332974770456</v>
      </c>
      <c r="Q65" s="27">
        <v>-37258.592716674088</v>
      </c>
      <c r="R65" s="109">
        <v>-81721.478555596084</v>
      </c>
      <c r="S65" s="27"/>
      <c r="T65" s="27"/>
      <c r="U65" s="27"/>
      <c r="V65" s="27"/>
      <c r="W65" s="27"/>
    </row>
    <row r="66" spans="1:23" x14ac:dyDescent="0.25">
      <c r="A66" s="56" t="s">
        <v>62</v>
      </c>
      <c r="B66" s="57">
        <f>$B$24</f>
        <v>10</v>
      </c>
      <c r="D66" s="5"/>
      <c r="E66" s="115">
        <f t="shared" si="26"/>
        <v>2500</v>
      </c>
      <c r="F66" s="112">
        <v>612884.2916551613</v>
      </c>
      <c r="G66" s="112">
        <v>523710.00304216321</v>
      </c>
      <c r="H66" s="112">
        <v>434638.56468039739</v>
      </c>
      <c r="I66" s="112">
        <v>390127.43234696088</v>
      </c>
      <c r="J66" s="112">
        <v>345627.86153531901</v>
      </c>
      <c r="K66" s="112">
        <v>301137.29236344382</v>
      </c>
      <c r="L66" s="112">
        <v>256653.75826843857</v>
      </c>
      <c r="M66" s="112">
        <v>212175.73872281407</v>
      </c>
      <c r="N66" s="112">
        <v>167702.05085290526</v>
      </c>
      <c r="O66" s="27">
        <v>123231.76916550746</v>
      </c>
      <c r="P66" s="27">
        <v>78764.165686596942</v>
      </c>
      <c r="Q66" s="27">
        <v>34298.665011963225</v>
      </c>
      <c r="R66" s="109">
        <v>-10165.189677928924</v>
      </c>
      <c r="S66" s="27"/>
      <c r="T66" s="27"/>
      <c r="U66" s="27"/>
      <c r="V66" s="27"/>
      <c r="W66" s="27"/>
    </row>
    <row r="67" spans="1:23" x14ac:dyDescent="0.25">
      <c r="A67" s="51"/>
      <c r="B67" s="58"/>
      <c r="D67" s="5"/>
      <c r="E67" s="115">
        <f t="shared" si="26"/>
        <v>2750</v>
      </c>
      <c r="F67" s="112">
        <v>684671.43619828357</v>
      </c>
      <c r="G67" s="112">
        <v>595410.53433852573</v>
      </c>
      <c r="H67" s="112">
        <v>506282.58008258336</v>
      </c>
      <c r="I67" s="112">
        <v>461751.09686518926</v>
      </c>
      <c r="J67" s="112">
        <v>417235.1395411276</v>
      </c>
      <c r="K67" s="112">
        <v>372731.40444026195</v>
      </c>
      <c r="L67" s="112">
        <v>328237.32701052568</v>
      </c>
      <c r="M67" s="112">
        <v>283750.90537758119</v>
      </c>
      <c r="N67" s="112">
        <v>239270.56835817033</v>
      </c>
      <c r="O67" s="27">
        <v>194795.07631820941</v>
      </c>
      <c r="P67" s="27">
        <v>150323.44633231696</v>
      </c>
      <c r="Q67" s="27">
        <v>105854.89537987072</v>
      </c>
      <c r="R67" s="109">
        <v>61388.796985318186</v>
      </c>
      <c r="S67" s="27"/>
      <c r="T67" s="27"/>
      <c r="U67" s="27"/>
      <c r="V67" s="27"/>
      <c r="W67" s="27"/>
    </row>
    <row r="68" spans="1:23" x14ac:dyDescent="0.25">
      <c r="A68" s="59" t="s">
        <v>63</v>
      </c>
      <c r="B68" s="58"/>
      <c r="D68" s="5"/>
      <c r="E68" s="115">
        <f t="shared" si="26"/>
        <v>3000</v>
      </c>
      <c r="F68" s="112">
        <v>756517.76537582139</v>
      </c>
      <c r="G68" s="112">
        <v>667154.75137436029</v>
      </c>
      <c r="H68" s="112">
        <v>577957.77170068945</v>
      </c>
      <c r="I68" s="112">
        <v>533400.76998629316</v>
      </c>
      <c r="J68" s="112">
        <v>488863.90336843242</v>
      </c>
      <c r="K68" s="112">
        <v>444343.05495630304</v>
      </c>
      <c r="L68" s="112">
        <v>399834.99414591055</v>
      </c>
      <c r="M68" s="112">
        <v>355337.17434709374</v>
      </c>
      <c r="N68" s="112">
        <v>310847.57882552454</v>
      </c>
      <c r="O68" s="27">
        <v>266364.60306006123</v>
      </c>
      <c r="P68" s="27">
        <v>221886.96471846569</v>
      </c>
      <c r="Q68" s="27">
        <v>177413.634513041</v>
      </c>
      <c r="R68" s="109">
        <v>132943.78286631056</v>
      </c>
      <c r="S68" s="27"/>
      <c r="T68" s="27"/>
      <c r="U68" s="27"/>
      <c r="V68" s="27"/>
      <c r="W68" s="27"/>
    </row>
    <row r="69" spans="1:23" x14ac:dyDescent="0.25">
      <c r="A69" s="60" t="s">
        <v>64</v>
      </c>
      <c r="B69" s="61">
        <f>FV(B65,B66,-B64,0,0)</f>
        <v>0</v>
      </c>
      <c r="D69" s="5"/>
      <c r="E69" s="115">
        <f t="shared" si="26"/>
        <v>3250</v>
      </c>
      <c r="F69" s="112">
        <v>828427.73414007982</v>
      </c>
      <c r="G69" s="112">
        <v>738948.13629796973</v>
      </c>
      <c r="H69" s="112">
        <v>649669.70616462547</v>
      </c>
      <c r="I69" s="112">
        <v>605081.88014813792</v>
      </c>
      <c r="J69" s="112">
        <v>560519.37950420775</v>
      </c>
      <c r="K69" s="112">
        <v>515977.23164349765</v>
      </c>
      <c r="L69" s="112">
        <v>471451.49037034094</v>
      </c>
      <c r="M69" s="112">
        <v>426939.01350392989</v>
      </c>
      <c r="N69" s="112">
        <v>382437.28975579015</v>
      </c>
      <c r="O69" s="27">
        <v>337944.30423534347</v>
      </c>
      <c r="P69" s="27">
        <v>293458.43395178649</v>
      </c>
      <c r="Q69" s="27">
        <v>248978.36649061693</v>
      </c>
      <c r="R69" s="109">
        <v>204503.03655955428</v>
      </c>
      <c r="S69" s="27"/>
      <c r="T69" s="27"/>
      <c r="U69" s="27"/>
      <c r="V69" s="27"/>
      <c r="W69" s="27"/>
    </row>
    <row r="70" spans="1:23" ht="15.75" thickBot="1" x14ac:dyDescent="0.3">
      <c r="A70" s="62" t="s">
        <v>65</v>
      </c>
      <c r="B70" s="63">
        <f>B69+B61</f>
        <v>149080.53537916782</v>
      </c>
      <c r="C70" t="str">
        <f>"Gross After "&amp; $B$24 &amp;" yrs"</f>
        <v>Gross After 10 yrs</v>
      </c>
      <c r="D70" s="5"/>
      <c r="E70" s="115">
        <f t="shared" si="26"/>
        <v>3500</v>
      </c>
      <c r="F70" s="112">
        <v>900404.14041330351</v>
      </c>
      <c r="G70" s="112">
        <v>810795.00017587759</v>
      </c>
      <c r="H70" s="112">
        <v>721423.17050174274</v>
      </c>
      <c r="I70" s="112">
        <v>676799.22756461916</v>
      </c>
      <c r="J70" s="112">
        <v>632206.29119703989</v>
      </c>
      <c r="K70" s="112">
        <v>587638.52124534757</v>
      </c>
      <c r="L70" s="112">
        <v>543091.22855802742</v>
      </c>
      <c r="M70" s="112">
        <v>498560.64030225208</v>
      </c>
      <c r="N70" s="112">
        <v>454043.71274017426</v>
      </c>
      <c r="O70" s="27">
        <v>409537.98280348571</v>
      </c>
      <c r="P70" s="27">
        <v>365041.45078399102</v>
      </c>
      <c r="Q70" s="27">
        <v>320552.48769504321</v>
      </c>
      <c r="R70" s="109">
        <v>276069.76206633798</v>
      </c>
    </row>
    <row r="71" spans="1:23" x14ac:dyDescent="0.25">
      <c r="B71" s="41"/>
      <c r="D71" s="5"/>
      <c r="E71" s="115">
        <f t="shared" si="26"/>
        <v>3750</v>
      </c>
      <c r="F71" s="112">
        <v>972448.26710604306</v>
      </c>
      <c r="G71" s="112">
        <v>882698.49534906482</v>
      </c>
      <c r="H71" s="112">
        <v>793222.13410361542</v>
      </c>
      <c r="I71" s="112">
        <v>748556.93663242436</v>
      </c>
      <c r="J71" s="112">
        <v>703928.80701382202</v>
      </c>
      <c r="K71" s="112">
        <v>659331.0577562449</v>
      </c>
      <c r="L71" s="112">
        <v>614758.25377402455</v>
      </c>
      <c r="M71" s="112">
        <v>570205.97471667454</v>
      </c>
      <c r="N71" s="112">
        <v>525670.61988278816</v>
      </c>
      <c r="O71" s="112">
        <v>481149.24993104849</v>
      </c>
      <c r="P71" s="112">
        <v>436639.45933479769</v>
      </c>
      <c r="Q71" s="112">
        <v>392139.27399941185</v>
      </c>
      <c r="R71" s="124">
        <v>347647.06921178289</v>
      </c>
    </row>
    <row r="72" spans="1:23" x14ac:dyDescent="0.25">
      <c r="A72" s="67" t="s">
        <v>117</v>
      </c>
      <c r="D72" s="5"/>
      <c r="E72" s="115">
        <f t="shared" si="26"/>
        <v>4000</v>
      </c>
      <c r="F72" s="112">
        <v>1044560.0708457535</v>
      </c>
      <c r="G72" s="112">
        <v>954660.66936513653</v>
      </c>
      <c r="H72" s="112">
        <v>865069.73936567095</v>
      </c>
      <c r="I72" s="112">
        <v>820358.43131252634</v>
      </c>
      <c r="J72" s="112">
        <v>775690.50759280322</v>
      </c>
      <c r="K72" s="112">
        <v>731058.48497636709</v>
      </c>
      <c r="L72" s="112">
        <v>686456.20450749854</v>
      </c>
      <c r="M72" s="112">
        <v>641878.60096059926</v>
      </c>
      <c r="N72" s="112">
        <v>597321.50708773651</v>
      </c>
      <c r="O72" s="27">
        <v>552781.49045065686</v>
      </c>
      <c r="P72" s="27">
        <v>508255.71901248884</v>
      </c>
      <c r="Q72" s="27">
        <v>463741.85123842279</v>
      </c>
      <c r="R72" s="109">
        <v>419237.94663037907</v>
      </c>
    </row>
    <row r="73" spans="1:23" ht="15.75" thickBot="1" x14ac:dyDescent="0.3">
      <c r="A73" s="22" t="s">
        <v>66</v>
      </c>
      <c r="D73" s="5"/>
      <c r="E73" s="115">
        <f t="shared" si="26"/>
        <v>4250</v>
      </c>
      <c r="F73" s="112">
        <v>1116738.3970402125</v>
      </c>
      <c r="G73" s="112">
        <v>1026682.5518629322</v>
      </c>
      <c r="H73" s="112">
        <v>936968.31806725415</v>
      </c>
      <c r="I73" s="112">
        <v>892206.43196095945</v>
      </c>
      <c r="J73" s="112">
        <v>847494.36992654845</v>
      </c>
      <c r="K73" s="112">
        <v>802823.93322218745</v>
      </c>
      <c r="L73" s="112">
        <v>758188.28525254899</v>
      </c>
      <c r="M73" s="112">
        <v>713581.73826218536</v>
      </c>
      <c r="N73" s="112">
        <v>668999.56455891486</v>
      </c>
      <c r="O73" s="27">
        <v>624437.8340575645</v>
      </c>
      <c r="P73" s="27">
        <v>579893.27699668007</v>
      </c>
      <c r="Q73" s="27">
        <v>535363.16930731549</v>
      </c>
      <c r="R73" s="109">
        <v>490845.23763763858</v>
      </c>
    </row>
    <row r="74" spans="1:23" x14ac:dyDescent="0.25">
      <c r="A74" s="49" t="s">
        <v>58</v>
      </c>
      <c r="B74" s="64">
        <f>+B62</f>
        <v>30000</v>
      </c>
      <c r="D74" s="5"/>
      <c r="E74" s="115">
        <f t="shared" si="26"/>
        <v>4500</v>
      </c>
      <c r="F74" s="112">
        <v>1188981.2029923983</v>
      </c>
      <c r="G74" s="112">
        <v>1098764.2651254502</v>
      </c>
      <c r="H74" s="112">
        <v>1008919.4296983633</v>
      </c>
      <c r="I74" s="112">
        <v>964102.97134892154</v>
      </c>
      <c r="J74" s="112">
        <v>919342.76791326201</v>
      </c>
      <c r="K74" s="112">
        <v>874630.00956479623</v>
      </c>
      <c r="L74" s="112">
        <v>829957.25020083669</v>
      </c>
      <c r="M74" s="112">
        <v>785318.22069676081</v>
      </c>
      <c r="N74" s="112">
        <v>740707.65464624227</v>
      </c>
      <c r="O74" s="27">
        <v>696121.1324482715</v>
      </c>
      <c r="P74" s="27">
        <v>651554.94552032347</v>
      </c>
      <c r="Q74" s="27">
        <v>607005.98013460694</v>
      </c>
      <c r="R74" s="109">
        <v>562471.61922758538</v>
      </c>
    </row>
    <row r="75" spans="1:23" x14ac:dyDescent="0.25">
      <c r="A75" s="51" t="s">
        <v>67</v>
      </c>
      <c r="B75" s="53">
        <f>(AVERAGEIF($B$50:$AF$50,"&lt;&gt;0"))</f>
        <v>7362.6419223107632</v>
      </c>
      <c r="D75" s="5"/>
      <c r="E75" s="115">
        <f t="shared" si="26"/>
        <v>4750</v>
      </c>
      <c r="F75" s="112">
        <v>1261285.7741619912</v>
      </c>
      <c r="G75" s="112">
        <v>1170905.1491227741</v>
      </c>
      <c r="H75" s="112">
        <v>1080923.9173850073</v>
      </c>
      <c r="I75" s="112">
        <v>1036049.4270584751</v>
      </c>
      <c r="J75" s="112">
        <v>991237.48742795514</v>
      </c>
      <c r="K75" s="112">
        <v>946478.80056463904</v>
      </c>
      <c r="L75" s="112">
        <v>901765.39748519589</v>
      </c>
      <c r="M75" s="112">
        <v>857090.48581795441</v>
      </c>
      <c r="N75" s="112">
        <v>812448.29696950596</v>
      </c>
      <c r="O75" s="112">
        <v>767833.94244794373</v>
      </c>
      <c r="P75" s="112">
        <v>723243.28406404774</v>
      </c>
      <c r="Q75" s="112">
        <v>678672.81967592437</v>
      </c>
      <c r="R75" s="124">
        <v>634119.58435940952</v>
      </c>
    </row>
    <row r="76" spans="1:23" ht="15.75" thickBot="1" x14ac:dyDescent="0.3">
      <c r="A76" s="51" t="s">
        <v>68</v>
      </c>
      <c r="B76" s="55">
        <f>(B75+B74)</f>
        <v>37362.641922310766</v>
      </c>
      <c r="D76" s="6"/>
      <c r="E76" s="117">
        <f t="shared" si="26"/>
        <v>5000</v>
      </c>
      <c r="F76" s="113">
        <v>1333648.9226713479</v>
      </c>
      <c r="G76" s="113">
        <v>1243103.8926268346</v>
      </c>
      <c r="H76" s="113">
        <v>1152981.9768233439</v>
      </c>
      <c r="I76" s="113">
        <v>1108046.5670851506</v>
      </c>
      <c r="J76" s="113">
        <v>1063179.7538013798</v>
      </c>
      <c r="K76" s="113">
        <v>1018371.8861427174</v>
      </c>
      <c r="L76" s="113">
        <v>973614.57313561835</v>
      </c>
      <c r="M76" s="113">
        <v>928900.57160066115</v>
      </c>
      <c r="N76" s="113">
        <v>884223.66056807176</v>
      </c>
      <c r="O76" s="113">
        <v>839578.51502641651</v>
      </c>
      <c r="P76" s="113">
        <v>794960.58645843761</v>
      </c>
      <c r="Q76" s="113">
        <v>750365.99398503324</v>
      </c>
      <c r="R76" s="114">
        <v>705791.42762274691</v>
      </c>
    </row>
    <row r="77" spans="1:23" x14ac:dyDescent="0.25">
      <c r="A77" s="51" t="s">
        <v>61</v>
      </c>
      <c r="B77" s="65">
        <f>B65</f>
        <v>0.1</v>
      </c>
      <c r="F77" s="118"/>
      <c r="G77" s="119"/>
      <c r="H77" s="119"/>
      <c r="I77" s="119"/>
      <c r="J77" s="119"/>
      <c r="K77" s="119"/>
      <c r="L77" s="119"/>
      <c r="M77" s="119"/>
      <c r="N77" s="119"/>
    </row>
    <row r="78" spans="1:23" ht="15" customHeight="1" x14ac:dyDescent="0.25">
      <c r="A78" s="51" t="s">
        <v>62</v>
      </c>
      <c r="B78" s="58">
        <f>$B$24</f>
        <v>10</v>
      </c>
      <c r="F78" s="118"/>
      <c r="G78" s="119"/>
      <c r="H78" s="119"/>
      <c r="I78" s="119"/>
      <c r="J78" s="119"/>
      <c r="K78" s="119"/>
      <c r="L78" s="119"/>
      <c r="M78" s="119"/>
      <c r="N78" s="119"/>
    </row>
    <row r="79" spans="1:23" ht="45" customHeight="1" x14ac:dyDescent="0.25">
      <c r="A79" s="51"/>
      <c r="B79" s="58"/>
      <c r="F79" s="119"/>
      <c r="G79" s="119"/>
      <c r="H79" s="119"/>
      <c r="I79" s="119"/>
      <c r="J79" s="119"/>
      <c r="K79" s="119"/>
      <c r="L79" s="119"/>
      <c r="M79" s="119"/>
      <c r="N79" s="119"/>
    </row>
    <row r="80" spans="1:23" x14ac:dyDescent="0.25">
      <c r="A80" s="51" t="str">
        <f>"FV of Investments After "&amp; $B$24 &amp;" yrs"</f>
        <v>FV of Investments After 10 yrs</v>
      </c>
      <c r="B80" s="66">
        <f>FV(B77,B78,-B76,0,0)</f>
        <v>595464.28853099025</v>
      </c>
      <c r="F80" s="119"/>
      <c r="G80" s="119"/>
      <c r="H80" s="119"/>
      <c r="I80" s="119"/>
      <c r="J80" s="119"/>
      <c r="K80" s="119"/>
      <c r="L80" s="119"/>
      <c r="M80" s="119"/>
      <c r="N80" s="119"/>
    </row>
    <row r="81" spans="1:14" x14ac:dyDescent="0.25">
      <c r="A81" s="51" t="s">
        <v>69</v>
      </c>
      <c r="B81" s="66">
        <f>B52*D1</f>
        <v>22563.861551577083</v>
      </c>
      <c r="F81" s="119"/>
      <c r="G81" s="119"/>
      <c r="H81" s="119"/>
      <c r="I81" s="119"/>
      <c r="J81" s="119"/>
      <c r="K81" s="119"/>
      <c r="L81" s="119"/>
      <c r="M81" s="119"/>
      <c r="N81" s="119"/>
    </row>
    <row r="82" spans="1:14" x14ac:dyDescent="0.25">
      <c r="A82" s="67" t="str">
        <f>"Mortgage Balance After "&amp; $B$24 &amp;" yrs"</f>
        <v>Mortgage Balance After 10 yrs</v>
      </c>
      <c r="B82" s="66" cm="1">
        <f t="array" ref="B82">(MIN(IF($B$24=$C$27:$AF$27,$C$29:$AF$29)))</f>
        <v>166588.79609776</v>
      </c>
      <c r="F82" s="119"/>
      <c r="G82" s="119"/>
      <c r="H82" s="119"/>
      <c r="I82" s="119"/>
      <c r="J82" s="119"/>
      <c r="K82" s="119"/>
      <c r="L82" s="119"/>
      <c r="M82" s="119"/>
      <c r="N82" s="119"/>
    </row>
    <row r="83" spans="1:14" x14ac:dyDescent="0.25">
      <c r="A83" s="51" t="str">
        <f>"Gross Value of Home After "&amp; $B$24 &amp;" yrs"</f>
        <v>Gross Value of Home After 10 yrs</v>
      </c>
      <c r="B83" s="54">
        <f>D1+B81-B82</f>
        <v>105875.06545381711</v>
      </c>
      <c r="F83" s="119"/>
      <c r="G83" s="119"/>
      <c r="H83" s="119"/>
      <c r="I83" s="119"/>
      <c r="J83" s="119"/>
      <c r="K83" s="119"/>
      <c r="L83" s="119"/>
      <c r="M83" s="119"/>
      <c r="N83" s="119"/>
    </row>
    <row r="84" spans="1:14" x14ac:dyDescent="0.25">
      <c r="A84" s="51" t="str">
        <f>"Gross Value of Home + FV of Investments After "&amp; $B$24 &amp;" yrs"</f>
        <v>Gross Value of Home + FV of Investments After 10 yrs</v>
      </c>
      <c r="B84" s="68">
        <f>B80+B83</f>
        <v>701339.35398480739</v>
      </c>
      <c r="C84" t="str">
        <f>"Gross After "&amp; $B$24 &amp;" yrs"</f>
        <v>Gross After 10 yrs</v>
      </c>
      <c r="F84" s="119"/>
      <c r="G84" s="119"/>
      <c r="H84" s="119"/>
      <c r="I84" s="119"/>
      <c r="J84" s="119"/>
      <c r="K84" s="119"/>
      <c r="L84" s="119"/>
      <c r="M84" s="119"/>
      <c r="N84" s="119"/>
    </row>
    <row r="85" spans="1:14" x14ac:dyDescent="0.25">
      <c r="A85" s="51"/>
      <c r="B85" s="66">
        <f>B88+B84</f>
        <v>737339.35398480739</v>
      </c>
      <c r="C85" t="str">
        <f>"Gross After "&amp; $B$24 &amp;" yrs" &amp;" + Rental income "</f>
        <v xml:space="preserve">Gross After 10 yrs + Rental income </v>
      </c>
      <c r="F85" s="119"/>
      <c r="G85" s="119"/>
      <c r="H85" s="119"/>
      <c r="I85" s="119"/>
      <c r="J85" s="119"/>
      <c r="K85" s="119"/>
      <c r="L85" s="119"/>
      <c r="M85" s="119"/>
      <c r="N85" s="119"/>
    </row>
    <row r="86" spans="1:14" x14ac:dyDescent="0.25">
      <c r="A86" s="51"/>
      <c r="B86" s="58">
        <v>1000</v>
      </c>
      <c r="F86" s="119"/>
      <c r="G86" s="119"/>
      <c r="H86" s="119"/>
      <c r="I86" s="119"/>
      <c r="J86" s="119"/>
      <c r="K86" s="119"/>
      <c r="L86" s="119"/>
      <c r="M86" s="119"/>
      <c r="N86" s="119"/>
    </row>
    <row r="87" spans="1:14" x14ac:dyDescent="0.25">
      <c r="A87" s="51"/>
      <c r="B87" s="58">
        <f>B86*12</f>
        <v>12000</v>
      </c>
      <c r="F87" s="119"/>
      <c r="G87" s="119"/>
      <c r="H87" s="119"/>
      <c r="I87" s="119"/>
      <c r="J87" s="119"/>
      <c r="K87" s="119"/>
      <c r="L87" s="119"/>
      <c r="M87" s="119"/>
      <c r="N87" s="119"/>
    </row>
    <row r="88" spans="1:14" ht="15.75" thickBot="1" x14ac:dyDescent="0.3">
      <c r="A88" s="62" t="s">
        <v>70</v>
      </c>
      <c r="B88" s="69">
        <f>(B87*10)*0.3</f>
        <v>36000</v>
      </c>
    </row>
    <row r="89" spans="1:14" x14ac:dyDescent="0.25">
      <c r="E89" s="15"/>
      <c r="F89" s="15"/>
      <c r="G89" s="15"/>
      <c r="H89" s="15"/>
      <c r="I89" s="15"/>
      <c r="J89" s="15"/>
      <c r="K89" s="15"/>
    </row>
    <row r="90" spans="1:14" x14ac:dyDescent="0.25">
      <c r="E90" s="15"/>
      <c r="F90" s="15"/>
      <c r="G90" s="15"/>
      <c r="I90" s="15"/>
      <c r="K90" s="123"/>
    </row>
    <row r="91" spans="1:14" x14ac:dyDescent="0.25">
      <c r="D91" s="42"/>
    </row>
    <row r="92" spans="1:14" x14ac:dyDescent="0.25">
      <c r="A92" s="29"/>
    </row>
    <row r="93" spans="1:14" x14ac:dyDescent="0.25">
      <c r="E93" s="120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" customHeight="1" x14ac:dyDescent="0.25">
      <c r="E94" s="3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60.75" customHeight="1" thickBot="1" x14ac:dyDescent="0.3">
      <c r="A95" s="1" t="s">
        <v>71</v>
      </c>
      <c r="B95" s="14"/>
      <c r="D95" s="132"/>
      <c r="E95" s="3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thickBot="1" x14ac:dyDescent="0.3">
      <c r="A96" s="49" t="str">
        <f>"coumpounding interest FV%= (1+r^10)-n,  r=growth rate, n=# yrs owned"</f>
        <v>coumpounding interest FV%= (1+r^10)-n,  r=growth rate, n=# yrs owned</v>
      </c>
      <c r="B96" s="50"/>
      <c r="D96" s="132"/>
      <c r="E96" s="3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thickBot="1" x14ac:dyDescent="0.3">
      <c r="A97" s="51" t="s">
        <v>61</v>
      </c>
      <c r="B97" s="97">
        <v>2.7E-2</v>
      </c>
      <c r="D97" s="132"/>
      <c r="E97" s="3"/>
      <c r="F97" s="27"/>
      <c r="G97" s="27"/>
      <c r="H97" s="27"/>
      <c r="I97" s="27"/>
      <c r="J97" s="27"/>
      <c r="K97" s="27"/>
      <c r="L97" s="27"/>
      <c r="M97" s="27"/>
      <c r="N97" s="27"/>
    </row>
    <row r="98" spans="1:14" x14ac:dyDescent="0.25">
      <c r="A98" s="51" t="s">
        <v>72</v>
      </c>
      <c r="B98" s="52">
        <f>((1+B97)^$B$24)-1</f>
        <v>0.30528226116089363</v>
      </c>
      <c r="D98" s="132"/>
      <c r="E98" s="3"/>
      <c r="F98" s="27"/>
      <c r="G98" s="27"/>
      <c r="H98" s="27"/>
      <c r="I98" s="27"/>
      <c r="J98" s="27"/>
      <c r="K98" s="27"/>
      <c r="L98" s="27"/>
      <c r="M98" s="27"/>
      <c r="N98" s="27"/>
    </row>
    <row r="99" spans="1:14" x14ac:dyDescent="0.25">
      <c r="A99" s="51" t="str">
        <f>"Mortgage Interest After "&amp; $B$24 &amp;" yrs"</f>
        <v>Mortgage Interest After 10 yrs</v>
      </c>
      <c r="B99" s="54">
        <f>+B98*D1</f>
        <v>76290.037064107324</v>
      </c>
      <c r="D99" s="132"/>
      <c r="E99" s="3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5.75" thickBot="1" x14ac:dyDescent="0.3">
      <c r="A100" s="62" t="s">
        <v>73</v>
      </c>
      <c r="B100" s="70">
        <f>+D1+B99</f>
        <v>326190.03706410731</v>
      </c>
      <c r="E100" s="3"/>
      <c r="F100" s="27"/>
      <c r="G100" s="27"/>
      <c r="H100" s="27"/>
      <c r="I100" s="27"/>
      <c r="J100" s="27"/>
      <c r="K100" s="27"/>
      <c r="L100" s="27"/>
      <c r="M100" s="27"/>
      <c r="N100" s="27"/>
    </row>
    <row r="101" spans="1:14" x14ac:dyDescent="0.25">
      <c r="E101" s="3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x14ac:dyDescent="0.25">
      <c r="E102" s="3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idden="1" x14ac:dyDescent="0.25">
      <c r="E103" s="3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idden="1" x14ac:dyDescent="0.25">
      <c r="H104" s="48"/>
    </row>
    <row r="105" spans="1:14" hidden="1" x14ac:dyDescent="0.25">
      <c r="D105" s="121"/>
    </row>
    <row r="107" spans="1:14" hidden="1" x14ac:dyDescent="0.25">
      <c r="D107" s="42"/>
    </row>
    <row r="109" spans="1:14" hidden="1" x14ac:dyDescent="0.25">
      <c r="E109" s="120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14" hidden="1" x14ac:dyDescent="0.25">
      <c r="E110" s="122"/>
      <c r="F110" s="27"/>
      <c r="G110" s="27"/>
      <c r="H110" s="27"/>
      <c r="I110" s="27"/>
      <c r="J110" s="27"/>
      <c r="K110" s="27"/>
      <c r="L110" s="27"/>
      <c r="M110" s="27"/>
      <c r="N110" s="27"/>
    </row>
    <row r="111" spans="1:14" ht="60" hidden="1" customHeight="1" x14ac:dyDescent="0.25">
      <c r="D111" s="132"/>
      <c r="E111" s="122"/>
      <c r="F111" s="27"/>
      <c r="G111" s="27"/>
      <c r="H111" s="27"/>
      <c r="I111" s="27"/>
      <c r="J111" s="27"/>
      <c r="K111" s="27"/>
      <c r="L111" s="27"/>
      <c r="M111" s="27"/>
      <c r="N111" s="27"/>
    </row>
    <row r="112" spans="1:14" hidden="1" x14ac:dyDescent="0.25">
      <c r="D112" s="132"/>
      <c r="E112" s="122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4:14" hidden="1" x14ac:dyDescent="0.25">
      <c r="D113" s="132"/>
      <c r="E113" s="122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4:14" hidden="1" x14ac:dyDescent="0.25">
      <c r="D114" s="132"/>
      <c r="E114" s="122"/>
      <c r="F114" s="27"/>
      <c r="G114" s="27"/>
      <c r="H114" s="27"/>
      <c r="I114" s="27"/>
      <c r="J114" s="27"/>
      <c r="K114" s="27"/>
      <c r="L114" s="27"/>
      <c r="M114" s="27"/>
      <c r="N114" s="27"/>
    </row>
    <row r="115" spans="4:14" hidden="1" x14ac:dyDescent="0.25">
      <c r="D115" s="132"/>
      <c r="E115" s="122"/>
      <c r="F115" s="27"/>
      <c r="G115" s="27"/>
      <c r="H115" s="27"/>
      <c r="I115" s="27"/>
      <c r="J115" s="27"/>
      <c r="K115" s="27"/>
      <c r="L115" s="27"/>
      <c r="M115" s="27"/>
      <c r="N115" s="27"/>
    </row>
    <row r="116" spans="4:14" hidden="1" x14ac:dyDescent="0.25">
      <c r="E116" s="122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4:14" hidden="1" x14ac:dyDescent="0.25">
      <c r="E117" s="122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4:14" hidden="1" x14ac:dyDescent="0.25">
      <c r="E118" s="122"/>
      <c r="F118" s="27"/>
      <c r="G118" s="27"/>
      <c r="H118" s="27"/>
      <c r="I118" s="27"/>
      <c r="J118" s="27"/>
      <c r="K118" s="27"/>
      <c r="L118" s="27"/>
      <c r="M118" s="27"/>
      <c r="N118" s="27"/>
    </row>
    <row r="119" spans="4:14" hidden="1" x14ac:dyDescent="0.25">
      <c r="E119" s="122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4:14" hidden="1" x14ac:dyDescent="0.25">
      <c r="E120" s="122"/>
      <c r="F120" s="27"/>
      <c r="G120" s="27"/>
      <c r="H120" s="27"/>
      <c r="I120" s="27"/>
      <c r="J120" s="27"/>
      <c r="K120" s="27"/>
      <c r="L120" s="27"/>
      <c r="M120" s="27"/>
      <c r="N120" s="27"/>
    </row>
    <row r="121" spans="4:14" hidden="1" x14ac:dyDescent="0.25">
      <c r="E121" s="122"/>
      <c r="F121" s="27"/>
      <c r="G121" s="27"/>
      <c r="H121" s="27"/>
      <c r="I121" s="27"/>
      <c r="J121" s="27"/>
      <c r="K121" s="27"/>
      <c r="L121" s="27"/>
      <c r="M121" s="27"/>
      <c r="N121" s="27"/>
    </row>
    <row r="122" spans="4:14" hidden="1" x14ac:dyDescent="0.25">
      <c r="E122" s="122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4:14" hidden="1" x14ac:dyDescent="0.25">
      <c r="E123" s="122"/>
      <c r="F123" s="27"/>
      <c r="G123" s="27"/>
      <c r="H123" s="27"/>
      <c r="I123" s="27"/>
      <c r="J123" s="27"/>
      <c r="K123" s="27"/>
      <c r="L123" s="27"/>
      <c r="M123" s="27"/>
      <c r="N123" s="27"/>
    </row>
    <row r="124" spans="4:14" hidden="1" x14ac:dyDescent="0.25">
      <c r="E124" s="122"/>
      <c r="F124" s="27"/>
      <c r="G124" s="27"/>
      <c r="H124" s="27"/>
      <c r="I124" s="27"/>
      <c r="J124" s="27"/>
      <c r="K124" s="27"/>
      <c r="L124" s="27"/>
      <c r="M124" s="27"/>
      <c r="N124" s="27"/>
    </row>
    <row r="125" spans="4:14" hidden="1" x14ac:dyDescent="0.25">
      <c r="E125" s="122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4:14" hidden="1" x14ac:dyDescent="0.25">
      <c r="E126" s="122"/>
      <c r="F126" s="27"/>
      <c r="G126" s="27"/>
      <c r="H126" s="27"/>
      <c r="I126" s="27"/>
      <c r="J126" s="27"/>
      <c r="K126" s="27"/>
      <c r="L126" s="27"/>
      <c r="M126" s="27"/>
      <c r="N126" s="27"/>
    </row>
    <row r="127" spans="4:14" hidden="1" x14ac:dyDescent="0.25">
      <c r="E127" s="122"/>
      <c r="F127" s="27"/>
      <c r="G127" s="27"/>
      <c r="H127" s="27"/>
      <c r="I127" s="27"/>
      <c r="J127" s="27"/>
      <c r="K127" s="27"/>
      <c r="L127" s="27"/>
      <c r="M127" s="27"/>
      <c r="N127" s="27"/>
    </row>
    <row r="128" spans="4:14" hidden="1" x14ac:dyDescent="0.25">
      <c r="E128" s="122"/>
      <c r="F128" s="27"/>
      <c r="G128" s="27"/>
      <c r="H128" s="27"/>
      <c r="I128" s="27"/>
      <c r="J128" s="27"/>
      <c r="K128" s="27"/>
      <c r="L128" s="27"/>
      <c r="M128" s="27"/>
      <c r="N128" s="27"/>
    </row>
    <row r="129" spans="5:14" hidden="1" x14ac:dyDescent="0.25">
      <c r="E129" s="122"/>
      <c r="F129" s="27"/>
      <c r="G129" s="27"/>
      <c r="H129" s="27"/>
      <c r="I129" s="27"/>
      <c r="J129" s="27"/>
      <c r="K129" s="27"/>
      <c r="L129" s="27"/>
      <c r="M129" s="27"/>
      <c r="N129" s="27"/>
    </row>
  </sheetData>
  <dataConsolidate/>
  <mergeCells count="2">
    <mergeCell ref="D95:D99"/>
    <mergeCell ref="D111:D115"/>
  </mergeCells>
  <conditionalFormatting sqref="C29:AF29">
    <cfRule type="cellIs" dxfId="73" priority="125" operator="equal">
      <formula>$B$82</formula>
    </cfRule>
  </conditionalFormatting>
  <conditionalFormatting sqref="E77:E86">
    <cfRule type="cellIs" dxfId="72" priority="105" operator="equal">
      <formula>$D$3</formula>
    </cfRule>
  </conditionalFormatting>
  <conditionalFormatting sqref="E61:R61">
    <cfRule type="expression" dxfId="71" priority="63">
      <formula>$E$61=$J$3</formula>
    </cfRule>
  </conditionalFormatting>
  <conditionalFormatting sqref="E62:R62">
    <cfRule type="expression" dxfId="70" priority="77">
      <formula>$E$62=$J$3</formula>
    </cfRule>
  </conditionalFormatting>
  <conditionalFormatting sqref="E63:R63">
    <cfRule type="expression" dxfId="69" priority="62">
      <formula>$E$63=$J$3</formula>
    </cfRule>
  </conditionalFormatting>
  <conditionalFormatting sqref="E64:R64">
    <cfRule type="expression" dxfId="68" priority="61">
      <formula>$E$64=$J$3</formula>
    </cfRule>
  </conditionalFormatting>
  <conditionalFormatting sqref="E65:R65">
    <cfRule type="expression" dxfId="67" priority="60">
      <formula>$E$65=$J$3</formula>
    </cfRule>
  </conditionalFormatting>
  <conditionalFormatting sqref="E66:R66">
    <cfRule type="expression" dxfId="66" priority="59">
      <formula>$E$66=$J$3</formula>
    </cfRule>
  </conditionalFormatting>
  <conditionalFormatting sqref="E67:R67">
    <cfRule type="expression" dxfId="65" priority="58">
      <formula>$E$67=$J$3</formula>
    </cfRule>
  </conditionalFormatting>
  <conditionalFormatting sqref="E68:R68">
    <cfRule type="expression" dxfId="64" priority="57">
      <formula>$E$68=$J$3</formula>
    </cfRule>
  </conditionalFormatting>
  <conditionalFormatting sqref="E69:R69 E72 E75">
    <cfRule type="expression" dxfId="63" priority="56">
      <formula>$E$69=$J$3</formula>
    </cfRule>
  </conditionalFormatting>
  <conditionalFormatting sqref="E70:R70 E73 E76">
    <cfRule type="expression" dxfId="62" priority="55">
      <formula>$E$70=$J$3</formula>
    </cfRule>
  </conditionalFormatting>
  <conditionalFormatting sqref="E71:R71 E74">
    <cfRule type="expression" dxfId="61" priority="54">
      <formula>$E$71=$J$3</formula>
    </cfRule>
  </conditionalFormatting>
  <conditionalFormatting sqref="F60:F76">
    <cfRule type="expression" dxfId="60" priority="50">
      <formula>$F$60=$D$1</formula>
    </cfRule>
  </conditionalFormatting>
  <conditionalFormatting sqref="F74:G74">
    <cfRule type="expression" dxfId="59" priority="38">
      <formula>$E$69=$J$3</formula>
    </cfRule>
  </conditionalFormatting>
  <conditionalFormatting sqref="F75:G75">
    <cfRule type="expression" dxfId="58" priority="37">
      <formula>$E$70=$J$3</formula>
    </cfRule>
  </conditionalFormatting>
  <conditionalFormatting sqref="F76:G76">
    <cfRule type="expression" dxfId="57" priority="36">
      <formula>$E$71=$J$3</formula>
    </cfRule>
  </conditionalFormatting>
  <conditionalFormatting sqref="F61:R76">
    <cfRule type="cellIs" dxfId="56" priority="16" operator="greaterThan">
      <formula>0</formula>
    </cfRule>
    <cfRule type="cellIs" dxfId="55" priority="15" operator="lessThan">
      <formula>0</formula>
    </cfRule>
    <cfRule type="cellIs" dxfId="54" priority="14" operator="equal">
      <formula>$H$3</formula>
    </cfRule>
  </conditionalFormatting>
  <conditionalFormatting sqref="G60:G76">
    <cfRule type="expression" dxfId="53" priority="41">
      <formula>$G$60=$D$1</formula>
    </cfRule>
  </conditionalFormatting>
  <conditionalFormatting sqref="H3">
    <cfRule type="cellIs" dxfId="52" priority="109" operator="greaterThanOrEqual">
      <formula>0</formula>
    </cfRule>
  </conditionalFormatting>
  <conditionalFormatting sqref="H60:H76">
    <cfRule type="expression" dxfId="51" priority="6">
      <formula>$H$60=$D$1</formula>
    </cfRule>
  </conditionalFormatting>
  <conditionalFormatting sqref="H72:R72">
    <cfRule type="expression" dxfId="50" priority="20">
      <formula>$E$72=$J$3</formula>
    </cfRule>
  </conditionalFormatting>
  <conditionalFormatting sqref="H73:R73">
    <cfRule type="expression" dxfId="49" priority="19">
      <formula>$E$73=$J$3</formula>
    </cfRule>
  </conditionalFormatting>
  <conditionalFormatting sqref="H74:R74">
    <cfRule type="expression" dxfId="48" priority="18">
      <formula>$E$70=$J$3</formula>
    </cfRule>
  </conditionalFormatting>
  <conditionalFormatting sqref="H75:R76">
    <cfRule type="expression" dxfId="47" priority="1">
      <formula>$E$71=$J$3</formula>
    </cfRule>
  </conditionalFormatting>
  <conditionalFormatting sqref="I60:I76">
    <cfRule type="expression" dxfId="46" priority="7">
      <formula>$I$60=$D$1</formula>
    </cfRule>
  </conditionalFormatting>
  <conditionalFormatting sqref="J60:J76">
    <cfRule type="expression" dxfId="45" priority="8">
      <formula>$J$60=$D$1</formula>
    </cfRule>
  </conditionalFormatting>
  <conditionalFormatting sqref="K60:K76">
    <cfRule type="expression" dxfId="44" priority="9">
      <formula>$K$60=$D$1</formula>
    </cfRule>
  </conditionalFormatting>
  <conditionalFormatting sqref="L60:L76">
    <cfRule type="expression" dxfId="43" priority="10">
      <formula>$L$60=$D$1</formula>
    </cfRule>
  </conditionalFormatting>
  <conditionalFormatting sqref="M60:M76">
    <cfRule type="expression" dxfId="42" priority="12">
      <formula>$M$60=$D$1</formula>
    </cfRule>
  </conditionalFormatting>
  <conditionalFormatting sqref="N60:N76">
    <cfRule type="expression" dxfId="41" priority="13">
      <formula>$N$60=$D$1</formula>
    </cfRule>
  </conditionalFormatting>
  <conditionalFormatting sqref="O60:O76">
    <cfRule type="expression" dxfId="40" priority="5">
      <formula>$O$60=$D$1</formula>
    </cfRule>
  </conditionalFormatting>
  <conditionalFormatting sqref="P60:P76">
    <cfRule type="expression" dxfId="39" priority="4">
      <formula>$P$60=$D$1</formula>
    </cfRule>
  </conditionalFormatting>
  <conditionalFormatting sqref="Q60:Q76">
    <cfRule type="expression" dxfId="38" priority="3">
      <formula>$Q$60=$D$1</formula>
    </cfRule>
  </conditionalFormatting>
  <conditionalFormatting sqref="R60:R76">
    <cfRule type="expression" dxfId="37" priority="2">
      <formula>$R$60=$D$1</formula>
    </cfRule>
  </conditionalFormatting>
  <pageMargins left="0.7" right="0.7" top="0.75" bottom="0.75" header="0.3" footer="0.3"/>
  <pageSetup scale="16" orientation="portrait" r:id="rId1"/>
  <headerFooter>
    <oddHeader>&amp;C&amp;G</oddHead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D033-68BF-0E4E-9F4C-88F6F2DF2187}">
  <dimension ref="A1:AG129"/>
  <sheetViews>
    <sheetView zoomScaleNormal="100" zoomScaleSheetLayoutView="100" workbookViewId="0">
      <pane ySplit="3" topLeftCell="A4" activePane="bottomLeft" state="frozen"/>
      <selection activeCell="F1" sqref="F1"/>
      <selection pane="bottomLeft" activeCell="C14" sqref="C14"/>
    </sheetView>
  </sheetViews>
  <sheetFormatPr defaultColWidth="8.85546875" defaultRowHeight="15" zeroHeight="1" x14ac:dyDescent="0.25"/>
  <cols>
    <col min="1" max="1" width="66.7109375" customWidth="1"/>
    <col min="2" max="2" width="14.28515625" customWidth="1"/>
    <col min="3" max="3" width="37.7109375" customWidth="1"/>
    <col min="4" max="4" width="39.85546875" bestFit="1" customWidth="1"/>
    <col min="5" max="5" width="37.7109375" bestFit="1" customWidth="1"/>
    <col min="6" max="6" width="18" bestFit="1" customWidth="1"/>
    <col min="7" max="7" width="29" customWidth="1"/>
    <col min="8" max="8" width="20.28515625" customWidth="1"/>
    <col min="9" max="9" width="28.85546875" bestFit="1" customWidth="1"/>
    <col min="10" max="14" width="18" bestFit="1" customWidth="1"/>
    <col min="15" max="18" width="18.140625" bestFit="1" customWidth="1"/>
    <col min="19" max="26" width="8.42578125" bestFit="1" customWidth="1"/>
    <col min="27" max="27" width="13.42578125" bestFit="1" customWidth="1"/>
    <col min="28" max="32" width="8.42578125" bestFit="1" customWidth="1"/>
  </cols>
  <sheetData>
    <row r="1" spans="1:10" ht="19.5" thickBot="1" x14ac:dyDescent="0.35">
      <c r="A1" s="1" t="s">
        <v>0</v>
      </c>
      <c r="B1" s="33" t="s">
        <v>1</v>
      </c>
      <c r="C1" s="34" t="str">
        <f>+A8</f>
        <v>Home purchase price</v>
      </c>
      <c r="D1" s="92">
        <v>335000</v>
      </c>
      <c r="E1" s="35" t="str">
        <f>+A24</f>
        <v>Time spent in the house (years)</v>
      </c>
      <c r="F1" s="94">
        <v>10</v>
      </c>
      <c r="G1" s="36" t="str">
        <f>"No Own After "&amp; $B$24 &amp;" yrs"</f>
        <v>No Own After 10 yrs</v>
      </c>
      <c r="H1" s="106">
        <f>+$B$70</f>
        <v>1139781.5832272759</v>
      </c>
      <c r="I1" s="34" t="s">
        <v>113</v>
      </c>
      <c r="J1" s="103">
        <v>1</v>
      </c>
    </row>
    <row r="2" spans="1:10" ht="19.5" thickBot="1" x14ac:dyDescent="0.35">
      <c r="A2" s="37" t="s">
        <v>2</v>
      </c>
      <c r="C2" s="38" t="str">
        <f>+A9</f>
        <v>Percentage down payment</v>
      </c>
      <c r="D2" s="93">
        <v>0.05</v>
      </c>
      <c r="G2" s="47" t="str">
        <f>"Own After "&amp; $B$24 &amp;" yrs"</f>
        <v>Own After 10 yrs</v>
      </c>
      <c r="H2" s="107">
        <f>+$B$84</f>
        <v>625528.07701054285</v>
      </c>
      <c r="I2" s="38" t="s">
        <v>118</v>
      </c>
      <c r="J2" s="104">
        <v>800</v>
      </c>
    </row>
    <row r="3" spans="1:10" ht="19.5" thickBot="1" x14ac:dyDescent="0.35">
      <c r="A3" s="7" t="s">
        <v>3</v>
      </c>
      <c r="C3" s="39" t="str">
        <f>+A18</f>
        <v>Monthly rent saved</v>
      </c>
      <c r="D3" s="92">
        <v>1800</v>
      </c>
      <c r="E3" s="32"/>
      <c r="F3" s="32"/>
      <c r="G3" s="40" t="s">
        <v>4</v>
      </c>
      <c r="H3" s="43">
        <f>($H$2-$H$1)</f>
        <v>-514253.50621673302</v>
      </c>
      <c r="I3" s="39" t="s">
        <v>114</v>
      </c>
      <c r="J3" s="105">
        <f>+J2*J1</f>
        <v>800</v>
      </c>
    </row>
    <row r="4" spans="1:10" x14ac:dyDescent="0.25"/>
    <row r="5" spans="1:10" x14ac:dyDescent="0.25"/>
    <row r="6" spans="1:10" x14ac:dyDescent="0.25">
      <c r="A6" s="1" t="s">
        <v>5</v>
      </c>
    </row>
    <row r="7" spans="1:10" ht="15.75" thickBot="1" x14ac:dyDescent="0.3">
      <c r="A7" s="2" t="s">
        <v>6</v>
      </c>
      <c r="D7" s="42" t="s">
        <v>7</v>
      </c>
    </row>
    <row r="8" spans="1:10" ht="15.75" thickBot="1" x14ac:dyDescent="0.3">
      <c r="A8" t="s">
        <v>8</v>
      </c>
      <c r="B8" s="86">
        <f>+D1</f>
        <v>335000</v>
      </c>
      <c r="D8" s="125" t="s">
        <v>9</v>
      </c>
      <c r="E8" s="89">
        <v>120000</v>
      </c>
    </row>
    <row r="9" spans="1:10" ht="15.75" thickBot="1" x14ac:dyDescent="0.3">
      <c r="A9" t="s">
        <v>10</v>
      </c>
      <c r="B9" s="87">
        <f>+D2</f>
        <v>0.05</v>
      </c>
      <c r="D9" t="s">
        <v>11</v>
      </c>
      <c r="E9" s="90">
        <v>7.0000000000000007E-2</v>
      </c>
    </row>
    <row r="10" spans="1:10" ht="15.75" thickBot="1" x14ac:dyDescent="0.3">
      <c r="A10" t="s">
        <v>12</v>
      </c>
      <c r="B10" s="88">
        <v>0.03</v>
      </c>
      <c r="D10" t="s">
        <v>13</v>
      </c>
      <c r="E10" s="89">
        <v>2500</v>
      </c>
    </row>
    <row r="11" spans="1:10" ht="15.75" customHeight="1" thickBot="1" x14ac:dyDescent="0.3">
      <c r="A11" t="s">
        <v>14</v>
      </c>
      <c r="B11" s="88">
        <v>2.7E-2</v>
      </c>
      <c r="D11" t="s">
        <v>15</v>
      </c>
      <c r="E11" s="91" t="s">
        <v>16</v>
      </c>
    </row>
    <row r="12" spans="1:10" ht="15.75" thickBot="1" x14ac:dyDescent="0.3">
      <c r="A12" t="s">
        <v>17</v>
      </c>
      <c r="B12" s="88">
        <v>3.1440000000000003E-2</v>
      </c>
    </row>
    <row r="13" spans="1:10" ht="15.75" thickBot="1" x14ac:dyDescent="0.3">
      <c r="A13" t="s">
        <v>18</v>
      </c>
      <c r="B13" s="30">
        <f>+B8*0.0065</f>
        <v>2177.5</v>
      </c>
      <c r="D13" t="s">
        <v>19</v>
      </c>
    </row>
    <row r="14" spans="1:10" ht="15.75" thickBot="1" x14ac:dyDescent="0.3">
      <c r="A14" t="s">
        <v>20</v>
      </c>
      <c r="B14" s="89">
        <f>0.015*B8</f>
        <v>5025</v>
      </c>
      <c r="D14" t="s">
        <v>21</v>
      </c>
      <c r="E14" s="30">
        <f>E8*E9</f>
        <v>8400</v>
      </c>
    </row>
    <row r="15" spans="1:10" ht="15.75" thickBot="1" x14ac:dyDescent="0.3">
      <c r="A15" t="s">
        <v>22</v>
      </c>
      <c r="B15" s="89">
        <f>147*12</f>
        <v>1764</v>
      </c>
      <c r="D15" t="s">
        <v>23</v>
      </c>
      <c r="E15" s="30">
        <f>IF(E11="Y",24000, 12000)</f>
        <v>12000</v>
      </c>
    </row>
    <row r="16" spans="1:10" x14ac:dyDescent="0.25"/>
    <row r="17" spans="1:32" x14ac:dyDescent="0.25">
      <c r="A17" s="2" t="s">
        <v>24</v>
      </c>
    </row>
    <row r="18" spans="1:32" ht="15.75" thickBot="1" x14ac:dyDescent="0.3">
      <c r="A18" t="s">
        <v>25</v>
      </c>
      <c r="B18" s="30">
        <f>+D3</f>
        <v>1800</v>
      </c>
      <c r="C18" s="13"/>
      <c r="D18" t="s">
        <v>26</v>
      </c>
      <c r="E18" s="29"/>
    </row>
    <row r="19" spans="1:32" ht="15.75" thickBot="1" x14ac:dyDescent="0.3">
      <c r="A19" t="s">
        <v>27</v>
      </c>
      <c r="B19" s="90">
        <v>0.24</v>
      </c>
      <c r="D19" s="89">
        <v>10000</v>
      </c>
    </row>
    <row r="20" spans="1:32" ht="15.75" thickBot="1" x14ac:dyDescent="0.3">
      <c r="A20" t="s">
        <v>28</v>
      </c>
      <c r="B20" s="90">
        <v>0.02</v>
      </c>
    </row>
    <row r="21" spans="1:32" ht="15.75" customHeight="1" x14ac:dyDescent="0.25"/>
    <row r="22" spans="1:32" ht="15.75" thickBot="1" x14ac:dyDescent="0.3">
      <c r="A22" s="2" t="s">
        <v>29</v>
      </c>
    </row>
    <row r="23" spans="1:32" ht="15.75" thickBot="1" x14ac:dyDescent="0.3">
      <c r="A23" t="s">
        <v>30</v>
      </c>
      <c r="B23" s="90">
        <v>0.02</v>
      </c>
    </row>
    <row r="24" spans="1:32" ht="15.75" thickBot="1" x14ac:dyDescent="0.3">
      <c r="A24" t="s">
        <v>31</v>
      </c>
      <c r="B24" s="31">
        <f>+F1</f>
        <v>10</v>
      </c>
    </row>
    <row r="25" spans="1:32" ht="15.75" thickBot="1" x14ac:dyDescent="0.3">
      <c r="A25" t="s">
        <v>32</v>
      </c>
      <c r="B25" s="90">
        <v>7.0000000000000007E-2</v>
      </c>
      <c r="E25" s="14"/>
    </row>
    <row r="26" spans="1:32" ht="15.75" thickBot="1" x14ac:dyDescent="0.3">
      <c r="A26" t="s">
        <v>111</v>
      </c>
      <c r="C26" s="10">
        <f>+C29/$D$1</f>
        <v>0.9290422347078765</v>
      </c>
      <c r="D26" s="10">
        <f t="shared" ref="D26:AF26" si="0">+D29/$D$1</f>
        <v>0.90902287681689298</v>
      </c>
      <c r="E26" s="10">
        <f t="shared" si="0"/>
        <v>0.90808446941575305</v>
      </c>
      <c r="F26" s="10">
        <f t="shared" si="0"/>
        <v>0.88599498479785488</v>
      </c>
      <c r="G26" s="10">
        <f t="shared" si="0"/>
        <v>0.86330908409527352</v>
      </c>
      <c r="H26" s="10">
        <f t="shared" si="0"/>
        <v>0.84001066407372238</v>
      </c>
      <c r="I26" s="10">
        <f t="shared" si="0"/>
        <v>0.8160831867115893</v>
      </c>
      <c r="J26" s="10">
        <f>+J29/$D$1</f>
        <v>0.79150966746067875</v>
      </c>
      <c r="K26" s="10">
        <f t="shared" si="0"/>
        <v>0.76627266318999354</v>
      </c>
      <c r="L26" s="10">
        <f>+L29/$D$1</f>
        <v>0.74035425980399994</v>
      </c>
      <c r="M26" s="10">
        <f t="shared" si="0"/>
        <v>0</v>
      </c>
      <c r="N26" s="10">
        <f t="shared" si="0"/>
        <v>0</v>
      </c>
      <c r="O26" s="10">
        <f t="shared" si="0"/>
        <v>0</v>
      </c>
      <c r="P26" s="10">
        <f t="shared" si="0"/>
        <v>0</v>
      </c>
      <c r="Q26" s="10">
        <f t="shared" si="0"/>
        <v>0</v>
      </c>
      <c r="R26" s="10">
        <f t="shared" si="0"/>
        <v>0</v>
      </c>
      <c r="S26" s="10">
        <f t="shared" si="0"/>
        <v>0</v>
      </c>
      <c r="T26" s="10">
        <f t="shared" si="0"/>
        <v>0</v>
      </c>
      <c r="U26" s="10">
        <f t="shared" si="0"/>
        <v>0</v>
      </c>
      <c r="V26" s="10">
        <f t="shared" si="0"/>
        <v>0</v>
      </c>
      <c r="W26" s="10">
        <f t="shared" si="0"/>
        <v>0</v>
      </c>
      <c r="X26" s="10">
        <f t="shared" si="0"/>
        <v>0</v>
      </c>
      <c r="Y26" s="10">
        <f t="shared" si="0"/>
        <v>0</v>
      </c>
      <c r="Z26" s="10">
        <f t="shared" si="0"/>
        <v>0</v>
      </c>
      <c r="AA26" s="10">
        <f t="shared" si="0"/>
        <v>0</v>
      </c>
      <c r="AB26" s="10">
        <f t="shared" si="0"/>
        <v>0</v>
      </c>
      <c r="AC26" s="10">
        <f t="shared" si="0"/>
        <v>0</v>
      </c>
      <c r="AD26" s="10">
        <f t="shared" si="0"/>
        <v>0</v>
      </c>
      <c r="AE26" s="10">
        <f t="shared" si="0"/>
        <v>0</v>
      </c>
      <c r="AF26" s="10">
        <f t="shared" si="0"/>
        <v>0</v>
      </c>
    </row>
    <row r="27" spans="1:32" x14ac:dyDescent="0.25">
      <c r="A27" s="16" t="s">
        <v>33</v>
      </c>
      <c r="B27" s="17">
        <v>0</v>
      </c>
      <c r="C27" s="17">
        <v>1</v>
      </c>
      <c r="D27" s="17">
        <v>2</v>
      </c>
      <c r="E27" s="17">
        <v>3</v>
      </c>
      <c r="F27" s="17">
        <v>4</v>
      </c>
      <c r="G27" s="17">
        <v>5</v>
      </c>
      <c r="H27" s="17">
        <v>6</v>
      </c>
      <c r="I27" s="17">
        <v>7</v>
      </c>
      <c r="J27" s="17">
        <v>8</v>
      </c>
      <c r="K27" s="17">
        <v>9</v>
      </c>
      <c r="L27" s="17">
        <v>10</v>
      </c>
      <c r="M27" s="17">
        <v>11</v>
      </c>
      <c r="N27" s="17">
        <v>12</v>
      </c>
      <c r="O27" s="17">
        <v>13</v>
      </c>
      <c r="P27" s="17">
        <v>14</v>
      </c>
      <c r="Q27" s="17">
        <v>15</v>
      </c>
      <c r="R27" s="17">
        <v>16</v>
      </c>
      <c r="S27" s="17">
        <v>17</v>
      </c>
      <c r="T27" s="17">
        <v>18</v>
      </c>
      <c r="U27" s="17">
        <v>19</v>
      </c>
      <c r="V27" s="17">
        <v>20</v>
      </c>
      <c r="W27" s="17">
        <v>21</v>
      </c>
      <c r="X27" s="17">
        <v>22</v>
      </c>
      <c r="Y27" s="17">
        <v>23</v>
      </c>
      <c r="Z27" s="17">
        <v>24</v>
      </c>
      <c r="AA27" s="17">
        <v>25</v>
      </c>
      <c r="AB27" s="17">
        <v>26</v>
      </c>
      <c r="AC27" s="17">
        <v>27</v>
      </c>
      <c r="AD27" s="17">
        <v>28</v>
      </c>
      <c r="AE27" s="17">
        <v>29</v>
      </c>
      <c r="AF27" s="18">
        <v>30</v>
      </c>
    </row>
    <row r="28" spans="1:32" x14ac:dyDescent="0.25">
      <c r="A28" s="5" t="s">
        <v>34</v>
      </c>
      <c r="B28" s="99">
        <f>B8</f>
        <v>335000</v>
      </c>
      <c r="C28" s="99">
        <f t="shared" ref="C28:AF28" si="1">IF(C$37&lt;0,B28*(1+$B$20),0)</f>
        <v>341700</v>
      </c>
      <c r="D28" s="99">
        <f t="shared" si="1"/>
        <v>348534</v>
      </c>
      <c r="E28" s="99">
        <f t="shared" si="1"/>
        <v>355504.68</v>
      </c>
      <c r="F28" s="99">
        <f t="shared" si="1"/>
        <v>362614.77360000001</v>
      </c>
      <c r="G28" s="99">
        <f t="shared" si="1"/>
        <v>369867.06907200004</v>
      </c>
      <c r="H28" s="99">
        <f t="shared" si="1"/>
        <v>377264.41045344004</v>
      </c>
      <c r="I28" s="99">
        <f t="shared" si="1"/>
        <v>384809.69866250886</v>
      </c>
      <c r="J28" s="99">
        <f t="shared" si="1"/>
        <v>392505.89263575902</v>
      </c>
      <c r="K28" s="99">
        <f t="shared" si="1"/>
        <v>400356.01048847422</v>
      </c>
      <c r="L28" s="99">
        <f t="shared" si="1"/>
        <v>408363.13069824374</v>
      </c>
      <c r="M28" s="99">
        <f t="shared" si="1"/>
        <v>0</v>
      </c>
      <c r="N28" s="99">
        <f t="shared" si="1"/>
        <v>0</v>
      </c>
      <c r="O28" s="99">
        <f t="shared" si="1"/>
        <v>0</v>
      </c>
      <c r="P28" s="99">
        <f t="shared" si="1"/>
        <v>0</v>
      </c>
      <c r="Q28" s="99">
        <f t="shared" si="1"/>
        <v>0</v>
      </c>
      <c r="R28" s="99">
        <f t="shared" si="1"/>
        <v>0</v>
      </c>
      <c r="S28" s="99">
        <f t="shared" si="1"/>
        <v>0</v>
      </c>
      <c r="T28" s="99">
        <f t="shared" si="1"/>
        <v>0</v>
      </c>
      <c r="U28" s="99">
        <f t="shared" si="1"/>
        <v>0</v>
      </c>
      <c r="V28" s="99">
        <f t="shared" si="1"/>
        <v>0</v>
      </c>
      <c r="W28" s="99">
        <f t="shared" si="1"/>
        <v>0</v>
      </c>
      <c r="X28" s="99">
        <f t="shared" si="1"/>
        <v>0</v>
      </c>
      <c r="Y28" s="99">
        <f t="shared" si="1"/>
        <v>0</v>
      </c>
      <c r="Z28" s="99">
        <f t="shared" si="1"/>
        <v>0</v>
      </c>
      <c r="AA28" s="99">
        <f t="shared" si="1"/>
        <v>0</v>
      </c>
      <c r="AB28" s="99">
        <f t="shared" si="1"/>
        <v>0</v>
      </c>
      <c r="AC28" s="99">
        <f t="shared" si="1"/>
        <v>0</v>
      </c>
      <c r="AD28" s="99">
        <f t="shared" si="1"/>
        <v>0</v>
      </c>
      <c r="AE28" s="99">
        <f t="shared" si="1"/>
        <v>0</v>
      </c>
      <c r="AF28" s="19">
        <f t="shared" si="1"/>
        <v>0</v>
      </c>
    </row>
    <row r="29" spans="1:32" x14ac:dyDescent="0.25">
      <c r="A29" s="5" t="s">
        <v>35</v>
      </c>
      <c r="B29" s="99">
        <f>B8*(1-B9)</f>
        <v>318250</v>
      </c>
      <c r="C29" s="3">
        <f t="shared" ref="C29:F29" si="2">IF(C$37&lt;0,B$29+C$38,0)</f>
        <v>311229.14862713864</v>
      </c>
      <c r="D29" s="3">
        <f t="shared" si="2"/>
        <v>304522.66373365914</v>
      </c>
      <c r="E29" s="3">
        <f t="shared" si="2"/>
        <v>304208.29725427728</v>
      </c>
      <c r="F29" s="3">
        <f t="shared" si="2"/>
        <v>296808.31990728137</v>
      </c>
      <c r="G29" s="3">
        <f>IF(G$37&lt;0,F$29+G$38,0)</f>
        <v>289208.54317191662</v>
      </c>
      <c r="H29" s="3">
        <f>IF(H$37&lt;0,G$29+H$38,0)</f>
        <v>281403.572464697</v>
      </c>
      <c r="I29" s="3">
        <f t="shared" ref="I29:AF29" si="3">IF(I$37&lt;0,H$29+I$38,0)</f>
        <v>273387.86754838243</v>
      </c>
      <c r="J29" s="3">
        <f t="shared" si="3"/>
        <v>265155.73859932739</v>
      </c>
      <c r="K29" s="3">
        <f t="shared" si="3"/>
        <v>256701.34216864785</v>
      </c>
      <c r="L29" s="3">
        <f t="shared" si="3"/>
        <v>248018.67703433998</v>
      </c>
      <c r="M29" s="3">
        <f t="shared" si="3"/>
        <v>0</v>
      </c>
      <c r="N29" s="3">
        <f t="shared" si="3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  <c r="V29" s="3">
        <f t="shared" si="3"/>
        <v>0</v>
      </c>
      <c r="W29" s="3">
        <f t="shared" si="3"/>
        <v>0</v>
      </c>
      <c r="X29" s="3">
        <f t="shared" si="3"/>
        <v>0</v>
      </c>
      <c r="Y29" s="3">
        <f t="shared" si="3"/>
        <v>0</v>
      </c>
      <c r="Z29" s="3">
        <f t="shared" si="3"/>
        <v>0</v>
      </c>
      <c r="AA29" s="3">
        <f t="shared" si="3"/>
        <v>0</v>
      </c>
      <c r="AB29" s="3">
        <f t="shared" si="3"/>
        <v>0</v>
      </c>
      <c r="AC29" s="3">
        <f t="shared" si="3"/>
        <v>0</v>
      </c>
      <c r="AD29" s="3">
        <f t="shared" si="3"/>
        <v>0</v>
      </c>
      <c r="AE29" s="3">
        <f t="shared" si="3"/>
        <v>0</v>
      </c>
      <c r="AF29" s="28">
        <f t="shared" si="3"/>
        <v>0</v>
      </c>
    </row>
    <row r="30" spans="1:32" x14ac:dyDescent="0.25">
      <c r="A30" s="5" t="s">
        <v>36</v>
      </c>
      <c r="B30" s="99">
        <f>PMT(B11,30,-B29,0)</f>
        <v>15613.601372861367</v>
      </c>
      <c r="C30" s="102">
        <f>+C29/C28</f>
        <v>0.91082572030183973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9"/>
    </row>
    <row r="31" spans="1:32" x14ac:dyDescent="0.25">
      <c r="A31" s="5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19"/>
    </row>
    <row r="32" spans="1:32" x14ac:dyDescent="0.25">
      <c r="A32" s="5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20"/>
    </row>
    <row r="33" spans="1:32" x14ac:dyDescent="0.25">
      <c r="A33" s="5" t="s">
        <v>37</v>
      </c>
      <c r="B33" s="98"/>
      <c r="C33" s="100">
        <f t="shared" ref="C33:AF33" si="4">MIN($E$14-C40,10000)+$E$10+C45/$B$19</f>
        <v>21092.75</v>
      </c>
      <c r="D33" s="100">
        <f t="shared" si="4"/>
        <v>20708</v>
      </c>
      <c r="E33" s="100">
        <f t="shared" si="4"/>
        <v>11756.35</v>
      </c>
      <c r="F33" s="100">
        <f t="shared" si="4"/>
        <v>20713.624025865487</v>
      </c>
      <c r="G33" s="100">
        <f t="shared" si="4"/>
        <v>20513.824637496597</v>
      </c>
      <c r="H33" s="100">
        <f t="shared" si="4"/>
        <v>20308.630665641751</v>
      </c>
      <c r="I33" s="100">
        <f t="shared" si="4"/>
        <v>20097.89645654682</v>
      </c>
      <c r="J33" s="100">
        <f t="shared" si="4"/>
        <v>19881.472423806325</v>
      </c>
      <c r="K33" s="100">
        <f t="shared" si="4"/>
        <v>19659.204942181837</v>
      </c>
      <c r="L33" s="100">
        <f t="shared" si="4"/>
        <v>19430.936238553491</v>
      </c>
      <c r="M33" s="100">
        <f t="shared" si="4"/>
        <v>10900</v>
      </c>
      <c r="N33" s="100">
        <f t="shared" si="4"/>
        <v>10900</v>
      </c>
      <c r="O33" s="100">
        <f t="shared" si="4"/>
        <v>10900</v>
      </c>
      <c r="P33" s="100">
        <f t="shared" si="4"/>
        <v>10900</v>
      </c>
      <c r="Q33" s="100">
        <f t="shared" si="4"/>
        <v>10900</v>
      </c>
      <c r="R33" s="100">
        <f t="shared" si="4"/>
        <v>10900</v>
      </c>
      <c r="S33" s="100">
        <f t="shared" si="4"/>
        <v>10900</v>
      </c>
      <c r="T33" s="100">
        <f t="shared" si="4"/>
        <v>10900</v>
      </c>
      <c r="U33" s="100">
        <f t="shared" si="4"/>
        <v>10900</v>
      </c>
      <c r="V33" s="100">
        <f t="shared" si="4"/>
        <v>10900</v>
      </c>
      <c r="W33" s="100">
        <f t="shared" si="4"/>
        <v>10900</v>
      </c>
      <c r="X33" s="100">
        <f t="shared" si="4"/>
        <v>10900</v>
      </c>
      <c r="Y33" s="100">
        <f t="shared" si="4"/>
        <v>10900</v>
      </c>
      <c r="Z33" s="100">
        <f t="shared" si="4"/>
        <v>10900</v>
      </c>
      <c r="AA33" s="100">
        <f t="shared" si="4"/>
        <v>10900</v>
      </c>
      <c r="AB33" s="100">
        <f t="shared" si="4"/>
        <v>10900</v>
      </c>
      <c r="AC33" s="100">
        <f t="shared" si="4"/>
        <v>10900</v>
      </c>
      <c r="AD33" s="100">
        <f t="shared" si="4"/>
        <v>10900</v>
      </c>
      <c r="AE33" s="100">
        <f t="shared" si="4"/>
        <v>10900</v>
      </c>
      <c r="AF33" s="21">
        <f t="shared" si="4"/>
        <v>10900</v>
      </c>
    </row>
    <row r="34" spans="1:32" x14ac:dyDescent="0.25">
      <c r="A34" s="5" t="s">
        <v>38</v>
      </c>
      <c r="B34" s="98">
        <v>0</v>
      </c>
      <c r="C34" s="98">
        <v>1</v>
      </c>
      <c r="D34" s="98">
        <v>2</v>
      </c>
      <c r="E34" s="98">
        <v>3</v>
      </c>
      <c r="F34" s="98">
        <v>4</v>
      </c>
      <c r="G34" s="98">
        <v>5</v>
      </c>
      <c r="H34" s="98">
        <v>6</v>
      </c>
      <c r="I34" s="98">
        <v>7</v>
      </c>
      <c r="J34" s="98">
        <v>8</v>
      </c>
      <c r="K34" s="98">
        <v>9</v>
      </c>
      <c r="L34" s="98">
        <f>+K34+1</f>
        <v>10</v>
      </c>
      <c r="M34" s="98">
        <f t="shared" ref="M34:AF34" si="5">+L34+1</f>
        <v>11</v>
      </c>
      <c r="N34" s="98">
        <f t="shared" si="5"/>
        <v>12</v>
      </c>
      <c r="O34" s="98">
        <f t="shared" si="5"/>
        <v>13</v>
      </c>
      <c r="P34" s="98">
        <f t="shared" si="5"/>
        <v>14</v>
      </c>
      <c r="Q34" s="98">
        <f t="shared" si="5"/>
        <v>15</v>
      </c>
      <c r="R34" s="98">
        <f t="shared" si="5"/>
        <v>16</v>
      </c>
      <c r="S34" s="98">
        <f t="shared" si="5"/>
        <v>17</v>
      </c>
      <c r="T34" s="98">
        <f t="shared" si="5"/>
        <v>18</v>
      </c>
      <c r="U34" s="98">
        <f t="shared" si="5"/>
        <v>19</v>
      </c>
      <c r="V34" s="98">
        <f t="shared" si="5"/>
        <v>20</v>
      </c>
      <c r="W34" s="98">
        <f t="shared" si="5"/>
        <v>21</v>
      </c>
      <c r="X34" s="98">
        <f t="shared" si="5"/>
        <v>22</v>
      </c>
      <c r="Y34" s="98">
        <f t="shared" si="5"/>
        <v>23</v>
      </c>
      <c r="Z34" s="98">
        <f t="shared" si="5"/>
        <v>24</v>
      </c>
      <c r="AA34" s="98">
        <f t="shared" si="5"/>
        <v>25</v>
      </c>
      <c r="AB34" s="98">
        <f t="shared" si="5"/>
        <v>26</v>
      </c>
      <c r="AC34" s="98">
        <f t="shared" si="5"/>
        <v>27</v>
      </c>
      <c r="AD34" s="98">
        <f t="shared" si="5"/>
        <v>28</v>
      </c>
      <c r="AE34" s="98">
        <f t="shared" si="5"/>
        <v>29</v>
      </c>
      <c r="AF34" s="20">
        <f t="shared" si="5"/>
        <v>30</v>
      </c>
    </row>
    <row r="35" spans="1:32" x14ac:dyDescent="0.25">
      <c r="A35" s="5" t="s">
        <v>39</v>
      </c>
      <c r="B35" s="99">
        <f>-B8*B9</f>
        <v>-16750</v>
      </c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20"/>
    </row>
    <row r="36" spans="1:32" x14ac:dyDescent="0.25">
      <c r="A36" s="5" t="s">
        <v>12</v>
      </c>
      <c r="B36" s="99">
        <f>-B8*B10</f>
        <v>-10050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20"/>
    </row>
    <row r="37" spans="1:32" s="7" customFormat="1" x14ac:dyDescent="0.25">
      <c r="A37" s="126" t="s">
        <v>40</v>
      </c>
      <c r="B37" s="127"/>
      <c r="C37" s="128">
        <f t="shared" ref="C37:AF37" si="6">IF(C34&lt;=$B$24,-B29*$B$11,0)</f>
        <v>-8592.75</v>
      </c>
      <c r="D37" s="128">
        <v>-8208</v>
      </c>
      <c r="E37" s="130">
        <f>C37-D37</f>
        <v>-384.75</v>
      </c>
      <c r="F37" s="128">
        <f t="shared" si="6"/>
        <v>-8213.6240258654871</v>
      </c>
      <c r="G37" s="128">
        <f t="shared" si="6"/>
        <v>-8013.8246374965966</v>
      </c>
      <c r="H37" s="128">
        <f t="shared" si="6"/>
        <v>-7808.6306656417491</v>
      </c>
      <c r="I37" s="128">
        <f t="shared" si="6"/>
        <v>-7597.8964565468186</v>
      </c>
      <c r="J37" s="128">
        <f t="shared" si="6"/>
        <v>-7381.4724238063254</v>
      </c>
      <c r="K37" s="128">
        <f t="shared" si="6"/>
        <v>-7159.2049421818392</v>
      </c>
      <c r="L37" s="128">
        <f t="shared" si="6"/>
        <v>-6930.9362385534923</v>
      </c>
      <c r="M37" s="128">
        <f t="shared" si="6"/>
        <v>0</v>
      </c>
      <c r="N37" s="128">
        <f t="shared" si="6"/>
        <v>0</v>
      </c>
      <c r="O37" s="128">
        <f t="shared" si="6"/>
        <v>0</v>
      </c>
      <c r="P37" s="128">
        <f t="shared" si="6"/>
        <v>0</v>
      </c>
      <c r="Q37" s="128">
        <f t="shared" si="6"/>
        <v>0</v>
      </c>
      <c r="R37" s="128">
        <f t="shared" si="6"/>
        <v>0</v>
      </c>
      <c r="S37" s="128">
        <f t="shared" si="6"/>
        <v>0</v>
      </c>
      <c r="T37" s="128">
        <f t="shared" si="6"/>
        <v>0</v>
      </c>
      <c r="U37" s="128">
        <f t="shared" si="6"/>
        <v>0</v>
      </c>
      <c r="V37" s="128">
        <f t="shared" si="6"/>
        <v>0</v>
      </c>
      <c r="W37" s="128">
        <f t="shared" si="6"/>
        <v>0</v>
      </c>
      <c r="X37" s="128">
        <f t="shared" si="6"/>
        <v>0</v>
      </c>
      <c r="Y37" s="128">
        <f t="shared" si="6"/>
        <v>0</v>
      </c>
      <c r="Z37" s="128">
        <f t="shared" si="6"/>
        <v>0</v>
      </c>
      <c r="AA37" s="128">
        <f t="shared" si="6"/>
        <v>0</v>
      </c>
      <c r="AB37" s="128">
        <f t="shared" si="6"/>
        <v>0</v>
      </c>
      <c r="AC37" s="128">
        <f t="shared" si="6"/>
        <v>0</v>
      </c>
      <c r="AD37" s="128">
        <f t="shared" si="6"/>
        <v>0</v>
      </c>
      <c r="AE37" s="128">
        <f t="shared" si="6"/>
        <v>0</v>
      </c>
      <c r="AF37" s="129">
        <f t="shared" si="6"/>
        <v>0</v>
      </c>
    </row>
    <row r="38" spans="1:32" s="7" customFormat="1" x14ac:dyDescent="0.25">
      <c r="A38" s="126" t="s">
        <v>41</v>
      </c>
      <c r="B38" s="127"/>
      <c r="C38" s="128">
        <f t="shared" ref="C38:AF38" si="7">IF(C34&lt;=$B$24,-$B$30-C37,0)</f>
        <v>-7020.8513728613671</v>
      </c>
      <c r="D38" s="128">
        <v>-6706.4848934795118</v>
      </c>
      <c r="E38" s="130">
        <f t="shared" ref="E38:E49" si="8">C38-D38</f>
        <v>-314.36647938185524</v>
      </c>
      <c r="F38" s="128">
        <f t="shared" si="7"/>
        <v>-7399.97734699588</v>
      </c>
      <c r="G38" s="128">
        <f t="shared" si="7"/>
        <v>-7599.7767353647705</v>
      </c>
      <c r="H38" s="128">
        <f t="shared" si="7"/>
        <v>-7804.9707072196179</v>
      </c>
      <c r="I38" s="128">
        <f>IF(I34&lt;=$B$24,-$B$30-I37,0)</f>
        <v>-8015.7049163145484</v>
      </c>
      <c r="J38" s="128">
        <f t="shared" si="7"/>
        <v>-8232.1289490550407</v>
      </c>
      <c r="K38" s="128">
        <f t="shared" si="7"/>
        <v>-8454.3964306795278</v>
      </c>
      <c r="L38" s="128">
        <f t="shared" si="7"/>
        <v>-8682.6651343078738</v>
      </c>
      <c r="M38" s="128">
        <f t="shared" si="7"/>
        <v>0</v>
      </c>
      <c r="N38" s="128">
        <f t="shared" si="7"/>
        <v>0</v>
      </c>
      <c r="O38" s="128">
        <f t="shared" si="7"/>
        <v>0</v>
      </c>
      <c r="P38" s="128">
        <f t="shared" si="7"/>
        <v>0</v>
      </c>
      <c r="Q38" s="128">
        <f t="shared" si="7"/>
        <v>0</v>
      </c>
      <c r="R38" s="128">
        <f t="shared" si="7"/>
        <v>0</v>
      </c>
      <c r="S38" s="128">
        <f t="shared" si="7"/>
        <v>0</v>
      </c>
      <c r="T38" s="128">
        <f t="shared" si="7"/>
        <v>0</v>
      </c>
      <c r="U38" s="128">
        <f t="shared" si="7"/>
        <v>0</v>
      </c>
      <c r="V38" s="128">
        <f t="shared" si="7"/>
        <v>0</v>
      </c>
      <c r="W38" s="128">
        <f t="shared" si="7"/>
        <v>0</v>
      </c>
      <c r="X38" s="128">
        <f t="shared" si="7"/>
        <v>0</v>
      </c>
      <c r="Y38" s="128">
        <f t="shared" si="7"/>
        <v>0</v>
      </c>
      <c r="Z38" s="128">
        <f t="shared" si="7"/>
        <v>0</v>
      </c>
      <c r="AA38" s="128">
        <f t="shared" si="7"/>
        <v>0</v>
      </c>
      <c r="AB38" s="128">
        <f t="shared" si="7"/>
        <v>0</v>
      </c>
      <c r="AC38" s="128">
        <f t="shared" si="7"/>
        <v>0</v>
      </c>
      <c r="AD38" s="128">
        <f t="shared" si="7"/>
        <v>0</v>
      </c>
      <c r="AE38" s="128">
        <f t="shared" si="7"/>
        <v>0</v>
      </c>
      <c r="AF38" s="129">
        <f t="shared" si="7"/>
        <v>0</v>
      </c>
    </row>
    <row r="39" spans="1:32" x14ac:dyDescent="0.25">
      <c r="A39" s="5" t="s">
        <v>42</v>
      </c>
      <c r="B39" s="98"/>
      <c r="C39" s="99">
        <f>IF(AND(C$27&lt;=$F$1,$B$9&lt;0.2,(C29/$D$1)&gt;=0.83),-$B$15,0)</f>
        <v>-1764</v>
      </c>
      <c r="D39" s="99">
        <v>-1764</v>
      </c>
      <c r="E39" s="99">
        <f t="shared" si="8"/>
        <v>0</v>
      </c>
      <c r="F39" s="99">
        <f t="shared" ref="F39:AF39" si="9">IF(AND(F$27&lt;=$F$1,$B$9&lt;0.2,(F29/$D$1)&gt;=0.83),-$B$15,0)</f>
        <v>-1764</v>
      </c>
      <c r="G39" s="99">
        <f>IF(AND(G$27&lt;=$F$1,$B$9&lt;0.2,(G29/$D$1)&gt;=0.83),-$B$15,0)</f>
        <v>-1764</v>
      </c>
      <c r="H39" s="99">
        <f t="shared" si="9"/>
        <v>-1764</v>
      </c>
      <c r="I39" s="99">
        <f t="shared" si="9"/>
        <v>0</v>
      </c>
      <c r="J39" s="99">
        <f t="shared" si="9"/>
        <v>0</v>
      </c>
      <c r="K39" s="99">
        <f t="shared" si="9"/>
        <v>0</v>
      </c>
      <c r="L39" s="99">
        <f t="shared" si="9"/>
        <v>0</v>
      </c>
      <c r="M39" s="99">
        <f t="shared" si="9"/>
        <v>0</v>
      </c>
      <c r="N39" s="99">
        <f t="shared" si="9"/>
        <v>0</v>
      </c>
      <c r="O39" s="99">
        <f t="shared" si="9"/>
        <v>0</v>
      </c>
      <c r="P39" s="99">
        <f t="shared" si="9"/>
        <v>0</v>
      </c>
      <c r="Q39" s="99">
        <f t="shared" si="9"/>
        <v>0</v>
      </c>
      <c r="R39" s="99">
        <f t="shared" si="9"/>
        <v>0</v>
      </c>
      <c r="S39" s="99">
        <f t="shared" si="9"/>
        <v>0</v>
      </c>
      <c r="T39" s="99">
        <f t="shared" si="9"/>
        <v>0</v>
      </c>
      <c r="U39" s="99">
        <f t="shared" si="9"/>
        <v>0</v>
      </c>
      <c r="V39" s="99">
        <f t="shared" si="9"/>
        <v>0</v>
      </c>
      <c r="W39" s="99">
        <f t="shared" si="9"/>
        <v>0</v>
      </c>
      <c r="X39" s="99">
        <f t="shared" si="9"/>
        <v>0</v>
      </c>
      <c r="Y39" s="99">
        <f t="shared" si="9"/>
        <v>0</v>
      </c>
      <c r="Z39" s="99">
        <f t="shared" si="9"/>
        <v>0</v>
      </c>
      <c r="AA39" s="99">
        <f t="shared" si="9"/>
        <v>0</v>
      </c>
      <c r="AB39" s="99">
        <f t="shared" si="9"/>
        <v>0</v>
      </c>
      <c r="AC39" s="99">
        <f t="shared" si="9"/>
        <v>0</v>
      </c>
      <c r="AD39" s="99">
        <f t="shared" si="9"/>
        <v>0</v>
      </c>
      <c r="AE39" s="99">
        <f t="shared" si="9"/>
        <v>0</v>
      </c>
      <c r="AF39" s="19">
        <f t="shared" si="9"/>
        <v>0</v>
      </c>
    </row>
    <row r="40" spans="1:32" s="7" customFormat="1" x14ac:dyDescent="0.25">
      <c r="A40" s="131" t="s">
        <v>43</v>
      </c>
      <c r="B40" s="127"/>
      <c r="C40" s="128">
        <f t="shared" ref="C40:AF40" si="10">IF(C34&lt;=$B$24,-B28*$B$12,0)</f>
        <v>-10532.400000000001</v>
      </c>
      <c r="D40" s="128">
        <v>-10060.800000000001</v>
      </c>
      <c r="E40" s="130">
        <f t="shared" si="8"/>
        <v>-471.60000000000036</v>
      </c>
      <c r="F40" s="128">
        <f t="shared" si="10"/>
        <v>-11177.0671392</v>
      </c>
      <c r="G40" s="128">
        <f t="shared" si="10"/>
        <v>-11400.608481984002</v>
      </c>
      <c r="H40" s="128">
        <f t="shared" si="10"/>
        <v>-11628.620651623682</v>
      </c>
      <c r="I40" s="128">
        <f t="shared" si="10"/>
        <v>-11861.193064656156</v>
      </c>
      <c r="J40" s="128">
        <f t="shared" si="10"/>
        <v>-12098.416925949279</v>
      </c>
      <c r="K40" s="128">
        <f t="shared" si="10"/>
        <v>-12340.385264468265</v>
      </c>
      <c r="L40" s="128">
        <f t="shared" si="10"/>
        <v>-12587.192969757631</v>
      </c>
      <c r="M40" s="128">
        <f t="shared" si="10"/>
        <v>0</v>
      </c>
      <c r="N40" s="128">
        <f t="shared" si="10"/>
        <v>0</v>
      </c>
      <c r="O40" s="128">
        <f t="shared" si="10"/>
        <v>0</v>
      </c>
      <c r="P40" s="128">
        <f t="shared" si="10"/>
        <v>0</v>
      </c>
      <c r="Q40" s="128">
        <f t="shared" si="10"/>
        <v>0</v>
      </c>
      <c r="R40" s="128">
        <f t="shared" si="10"/>
        <v>0</v>
      </c>
      <c r="S40" s="128">
        <f t="shared" si="10"/>
        <v>0</v>
      </c>
      <c r="T40" s="128">
        <f t="shared" si="10"/>
        <v>0</v>
      </c>
      <c r="U40" s="128">
        <f t="shared" si="10"/>
        <v>0</v>
      </c>
      <c r="V40" s="128">
        <f t="shared" si="10"/>
        <v>0</v>
      </c>
      <c r="W40" s="128">
        <f t="shared" si="10"/>
        <v>0</v>
      </c>
      <c r="X40" s="128">
        <f t="shared" si="10"/>
        <v>0</v>
      </c>
      <c r="Y40" s="128">
        <f t="shared" si="10"/>
        <v>0</v>
      </c>
      <c r="Z40" s="128">
        <f t="shared" si="10"/>
        <v>0</v>
      </c>
      <c r="AA40" s="128">
        <f t="shared" si="10"/>
        <v>0</v>
      </c>
      <c r="AB40" s="128">
        <f t="shared" si="10"/>
        <v>0</v>
      </c>
      <c r="AC40" s="128">
        <f t="shared" si="10"/>
        <v>0</v>
      </c>
      <c r="AD40" s="128">
        <f t="shared" si="10"/>
        <v>0</v>
      </c>
      <c r="AE40" s="128">
        <f t="shared" si="10"/>
        <v>0</v>
      </c>
      <c r="AF40" s="129">
        <f t="shared" si="10"/>
        <v>0</v>
      </c>
    </row>
    <row r="41" spans="1:32" s="7" customFormat="1" x14ac:dyDescent="0.25">
      <c r="A41" s="126" t="s">
        <v>44</v>
      </c>
      <c r="B41" s="127"/>
      <c r="C41" s="128">
        <f>-B13</f>
        <v>-2177.5</v>
      </c>
      <c r="D41" s="128">
        <v>-2080</v>
      </c>
      <c r="E41" s="130">
        <f t="shared" si="8"/>
        <v>-97.5</v>
      </c>
      <c r="F41" s="128">
        <f t="shared" ref="F41:AF41" si="11">IF(F34&lt;=$B$24,E41*(1+$B$23),0)</f>
        <v>-99.45</v>
      </c>
      <c r="G41" s="128">
        <f t="shared" si="11"/>
        <v>-101.43900000000001</v>
      </c>
      <c r="H41" s="128">
        <f t="shared" si="11"/>
        <v>-103.46778</v>
      </c>
      <c r="I41" s="128">
        <f t="shared" si="11"/>
        <v>-105.53713560000001</v>
      </c>
      <c r="J41" s="128">
        <f t="shared" si="11"/>
        <v>-107.64787831200002</v>
      </c>
      <c r="K41" s="128">
        <f t="shared" si="11"/>
        <v>-109.80083587824002</v>
      </c>
      <c r="L41" s="128">
        <f t="shared" si="11"/>
        <v>-111.99685259580482</v>
      </c>
      <c r="M41" s="128">
        <f t="shared" si="11"/>
        <v>0</v>
      </c>
      <c r="N41" s="128">
        <f t="shared" si="11"/>
        <v>0</v>
      </c>
      <c r="O41" s="128">
        <f t="shared" si="11"/>
        <v>0</v>
      </c>
      <c r="P41" s="128">
        <f t="shared" si="11"/>
        <v>0</v>
      </c>
      <c r="Q41" s="128">
        <f t="shared" si="11"/>
        <v>0</v>
      </c>
      <c r="R41" s="128">
        <f t="shared" si="11"/>
        <v>0</v>
      </c>
      <c r="S41" s="128">
        <f t="shared" si="11"/>
        <v>0</v>
      </c>
      <c r="T41" s="128">
        <f t="shared" si="11"/>
        <v>0</v>
      </c>
      <c r="U41" s="128">
        <f t="shared" si="11"/>
        <v>0</v>
      </c>
      <c r="V41" s="128">
        <f t="shared" si="11"/>
        <v>0</v>
      </c>
      <c r="W41" s="128">
        <f t="shared" si="11"/>
        <v>0</v>
      </c>
      <c r="X41" s="128">
        <f t="shared" si="11"/>
        <v>0</v>
      </c>
      <c r="Y41" s="128">
        <f t="shared" si="11"/>
        <v>0</v>
      </c>
      <c r="Z41" s="128">
        <f t="shared" si="11"/>
        <v>0</v>
      </c>
      <c r="AA41" s="128">
        <f t="shared" si="11"/>
        <v>0</v>
      </c>
      <c r="AB41" s="128">
        <f t="shared" si="11"/>
        <v>0</v>
      </c>
      <c r="AC41" s="128">
        <f t="shared" si="11"/>
        <v>0</v>
      </c>
      <c r="AD41" s="128">
        <f t="shared" si="11"/>
        <v>0</v>
      </c>
      <c r="AE41" s="128">
        <f t="shared" si="11"/>
        <v>0</v>
      </c>
      <c r="AF41" s="129">
        <f t="shared" si="11"/>
        <v>0</v>
      </c>
    </row>
    <row r="42" spans="1:32" s="7" customFormat="1" x14ac:dyDescent="0.25">
      <c r="A42" s="126" t="s">
        <v>45</v>
      </c>
      <c r="B42" s="127"/>
      <c r="C42" s="128">
        <f>-B14</f>
        <v>-5025</v>
      </c>
      <c r="D42" s="128">
        <v>-4800</v>
      </c>
      <c r="E42" s="130">
        <f t="shared" si="8"/>
        <v>-225</v>
      </c>
      <c r="F42" s="128">
        <f t="shared" ref="F42:AF42" si="12">IF(F34&lt;=$B$24,E42*(1+$B$23),0)</f>
        <v>-229.5</v>
      </c>
      <c r="G42" s="128">
        <f t="shared" si="12"/>
        <v>-234.09</v>
      </c>
      <c r="H42" s="128">
        <f t="shared" si="12"/>
        <v>-238.77180000000001</v>
      </c>
      <c r="I42" s="128">
        <f t="shared" si="12"/>
        <v>-243.54723600000003</v>
      </c>
      <c r="J42" s="128">
        <f t="shared" si="12"/>
        <v>-248.41818072000004</v>
      </c>
      <c r="K42" s="128">
        <f t="shared" si="12"/>
        <v>-253.38654433440004</v>
      </c>
      <c r="L42" s="128">
        <f t="shared" si="12"/>
        <v>-258.45427522108804</v>
      </c>
      <c r="M42" s="128">
        <f t="shared" si="12"/>
        <v>0</v>
      </c>
      <c r="N42" s="128">
        <f t="shared" si="12"/>
        <v>0</v>
      </c>
      <c r="O42" s="128">
        <f t="shared" si="12"/>
        <v>0</v>
      </c>
      <c r="P42" s="128">
        <f t="shared" si="12"/>
        <v>0</v>
      </c>
      <c r="Q42" s="128">
        <f t="shared" si="12"/>
        <v>0</v>
      </c>
      <c r="R42" s="128">
        <f t="shared" si="12"/>
        <v>0</v>
      </c>
      <c r="S42" s="128">
        <f t="shared" si="12"/>
        <v>0</v>
      </c>
      <c r="T42" s="128">
        <f t="shared" si="12"/>
        <v>0</v>
      </c>
      <c r="U42" s="128">
        <f t="shared" si="12"/>
        <v>0</v>
      </c>
      <c r="V42" s="128">
        <f t="shared" si="12"/>
        <v>0</v>
      </c>
      <c r="W42" s="128">
        <f t="shared" si="12"/>
        <v>0</v>
      </c>
      <c r="X42" s="128">
        <f t="shared" si="12"/>
        <v>0</v>
      </c>
      <c r="Y42" s="128">
        <f t="shared" si="12"/>
        <v>0</v>
      </c>
      <c r="Z42" s="128">
        <f t="shared" si="12"/>
        <v>0</v>
      </c>
      <c r="AA42" s="128">
        <f t="shared" si="12"/>
        <v>0</v>
      </c>
      <c r="AB42" s="128">
        <f t="shared" si="12"/>
        <v>0</v>
      </c>
      <c r="AC42" s="128">
        <f t="shared" si="12"/>
        <v>0</v>
      </c>
      <c r="AD42" s="128">
        <f t="shared" si="12"/>
        <v>0</v>
      </c>
      <c r="AE42" s="128">
        <f t="shared" si="12"/>
        <v>0</v>
      </c>
      <c r="AF42" s="129">
        <f t="shared" si="12"/>
        <v>0</v>
      </c>
    </row>
    <row r="43" spans="1:32" x14ac:dyDescent="0.25">
      <c r="A43" s="22" t="s">
        <v>46</v>
      </c>
      <c r="B43" s="98"/>
      <c r="C43" s="45">
        <f>IF(C34&lt;=$B$24,B18*12,0)</f>
        <v>21600</v>
      </c>
      <c r="D43" s="45">
        <v>21600</v>
      </c>
      <c r="E43" s="99">
        <f t="shared" si="8"/>
        <v>0</v>
      </c>
      <c r="F43" s="45">
        <f t="shared" ref="F43:AF43" si="13">IF(F34&lt;=$B$24,E43*(1+$B$23),0)</f>
        <v>0</v>
      </c>
      <c r="G43" s="45">
        <f t="shared" si="13"/>
        <v>0</v>
      </c>
      <c r="H43" s="45">
        <f t="shared" si="13"/>
        <v>0</v>
      </c>
      <c r="I43" s="45">
        <f t="shared" si="13"/>
        <v>0</v>
      </c>
      <c r="J43" s="45">
        <f t="shared" si="13"/>
        <v>0</v>
      </c>
      <c r="K43" s="45">
        <f t="shared" si="13"/>
        <v>0</v>
      </c>
      <c r="L43" s="45">
        <f t="shared" si="13"/>
        <v>0</v>
      </c>
      <c r="M43" s="45">
        <f t="shared" si="13"/>
        <v>0</v>
      </c>
      <c r="N43" s="45">
        <f t="shared" si="13"/>
        <v>0</v>
      </c>
      <c r="O43" s="45">
        <f t="shared" si="13"/>
        <v>0</v>
      </c>
      <c r="P43" s="45">
        <f t="shared" si="13"/>
        <v>0</v>
      </c>
      <c r="Q43" s="45">
        <f t="shared" si="13"/>
        <v>0</v>
      </c>
      <c r="R43" s="45">
        <f t="shared" si="13"/>
        <v>0</v>
      </c>
      <c r="S43" s="45">
        <f t="shared" si="13"/>
        <v>0</v>
      </c>
      <c r="T43" s="45">
        <f t="shared" si="13"/>
        <v>0</v>
      </c>
      <c r="U43" s="45">
        <f t="shared" si="13"/>
        <v>0</v>
      </c>
      <c r="V43" s="45">
        <f t="shared" si="13"/>
        <v>0</v>
      </c>
      <c r="W43" s="45">
        <f t="shared" si="13"/>
        <v>0</v>
      </c>
      <c r="X43" s="45">
        <f t="shared" si="13"/>
        <v>0</v>
      </c>
      <c r="Y43" s="45">
        <f t="shared" si="13"/>
        <v>0</v>
      </c>
      <c r="Z43" s="45">
        <f t="shared" si="13"/>
        <v>0</v>
      </c>
      <c r="AA43" s="45">
        <f t="shared" si="13"/>
        <v>0</v>
      </c>
      <c r="AB43" s="45">
        <f t="shared" si="13"/>
        <v>0</v>
      </c>
      <c r="AC43" s="45">
        <f t="shared" si="13"/>
        <v>0</v>
      </c>
      <c r="AD43" s="45">
        <f t="shared" si="13"/>
        <v>0</v>
      </c>
      <c r="AE43" s="45">
        <f t="shared" si="13"/>
        <v>0</v>
      </c>
      <c r="AF43" s="101">
        <f t="shared" si="13"/>
        <v>0</v>
      </c>
    </row>
    <row r="44" spans="1:32" x14ac:dyDescent="0.25">
      <c r="A44" s="22" t="s">
        <v>115</v>
      </c>
      <c r="B44" s="98"/>
      <c r="C44" s="45">
        <f>IF(C34&lt;=$B$24,J3*12,0)</f>
        <v>9600</v>
      </c>
      <c r="D44" s="45">
        <v>9600</v>
      </c>
      <c r="E44" s="99">
        <f t="shared" si="8"/>
        <v>0</v>
      </c>
      <c r="F44" s="45">
        <f t="shared" ref="F44:AF44" si="14">IF(F34&lt;=$B$24,E44*(1+$B$23),0)</f>
        <v>0</v>
      </c>
      <c r="G44" s="45">
        <f t="shared" si="14"/>
        <v>0</v>
      </c>
      <c r="H44" s="45">
        <f t="shared" si="14"/>
        <v>0</v>
      </c>
      <c r="I44" s="45">
        <f t="shared" si="14"/>
        <v>0</v>
      </c>
      <c r="J44" s="45">
        <f t="shared" si="14"/>
        <v>0</v>
      </c>
      <c r="K44" s="45">
        <f t="shared" si="14"/>
        <v>0</v>
      </c>
      <c r="L44" s="45">
        <f t="shared" si="14"/>
        <v>0</v>
      </c>
      <c r="M44" s="45">
        <f t="shared" si="14"/>
        <v>0</v>
      </c>
      <c r="N44" s="45">
        <f t="shared" si="14"/>
        <v>0</v>
      </c>
      <c r="O44" s="45">
        <f t="shared" si="14"/>
        <v>0</v>
      </c>
      <c r="P44" s="45">
        <f t="shared" si="14"/>
        <v>0</v>
      </c>
      <c r="Q44" s="45">
        <f t="shared" si="14"/>
        <v>0</v>
      </c>
      <c r="R44" s="45">
        <f t="shared" si="14"/>
        <v>0</v>
      </c>
      <c r="S44" s="45">
        <f t="shared" si="14"/>
        <v>0</v>
      </c>
      <c r="T44" s="45">
        <f t="shared" si="14"/>
        <v>0</v>
      </c>
      <c r="U44" s="45">
        <f t="shared" si="14"/>
        <v>0</v>
      </c>
      <c r="V44" s="45">
        <f t="shared" si="14"/>
        <v>0</v>
      </c>
      <c r="W44" s="45">
        <f t="shared" si="14"/>
        <v>0</v>
      </c>
      <c r="X44" s="45">
        <f t="shared" si="14"/>
        <v>0</v>
      </c>
      <c r="Y44" s="45">
        <f t="shared" si="14"/>
        <v>0</v>
      </c>
      <c r="Z44" s="45">
        <f t="shared" si="14"/>
        <v>0</v>
      </c>
      <c r="AA44" s="45">
        <f t="shared" si="14"/>
        <v>0</v>
      </c>
      <c r="AB44" s="45">
        <f t="shared" si="14"/>
        <v>0</v>
      </c>
      <c r="AC44" s="45">
        <f t="shared" si="14"/>
        <v>0</v>
      </c>
      <c r="AD44" s="45">
        <f t="shared" si="14"/>
        <v>0</v>
      </c>
      <c r="AE44" s="45">
        <f t="shared" si="14"/>
        <v>0</v>
      </c>
      <c r="AF44" s="19">
        <f t="shared" si="14"/>
        <v>0</v>
      </c>
    </row>
    <row r="45" spans="1:32" s="7" customFormat="1" x14ac:dyDescent="0.25">
      <c r="A45" s="126" t="s">
        <v>47</v>
      </c>
      <c r="B45" s="127"/>
      <c r="C45" s="128">
        <f t="shared" ref="C45:AF45" si="15">IF(C34&lt;=$B$24,IF(B29&gt;750000,$B$19*750000*$B$11,$B$19*C37*-1),0)</f>
        <v>2062.2599999999998</v>
      </c>
      <c r="D45" s="128">
        <v>1969.9199999999998</v>
      </c>
      <c r="E45" s="130">
        <f t="shared" si="8"/>
        <v>92.339999999999918</v>
      </c>
      <c r="F45" s="128">
        <f t="shared" si="15"/>
        <v>1971.2697662077169</v>
      </c>
      <c r="G45" s="128">
        <f t="shared" si="15"/>
        <v>1923.3179129991831</v>
      </c>
      <c r="H45" s="128">
        <f t="shared" si="15"/>
        <v>1874.0713597540198</v>
      </c>
      <c r="I45" s="128">
        <f t="shared" si="15"/>
        <v>1823.4951495712364</v>
      </c>
      <c r="J45" s="128">
        <f t="shared" si="15"/>
        <v>1771.5533817135181</v>
      </c>
      <c r="K45" s="128">
        <f t="shared" si="15"/>
        <v>1718.2091861236413</v>
      </c>
      <c r="L45" s="128">
        <f t="shared" si="15"/>
        <v>1663.4246972528381</v>
      </c>
      <c r="M45" s="128">
        <f t="shared" si="15"/>
        <v>0</v>
      </c>
      <c r="N45" s="128">
        <f t="shared" si="15"/>
        <v>0</v>
      </c>
      <c r="O45" s="128">
        <f t="shared" si="15"/>
        <v>0</v>
      </c>
      <c r="P45" s="128">
        <f t="shared" si="15"/>
        <v>0</v>
      </c>
      <c r="Q45" s="128">
        <f t="shared" si="15"/>
        <v>0</v>
      </c>
      <c r="R45" s="128">
        <f t="shared" si="15"/>
        <v>0</v>
      </c>
      <c r="S45" s="128">
        <f t="shared" si="15"/>
        <v>0</v>
      </c>
      <c r="T45" s="128">
        <f t="shared" si="15"/>
        <v>0</v>
      </c>
      <c r="U45" s="128">
        <f t="shared" si="15"/>
        <v>0</v>
      </c>
      <c r="V45" s="128">
        <f t="shared" si="15"/>
        <v>0</v>
      </c>
      <c r="W45" s="128">
        <f t="shared" si="15"/>
        <v>0</v>
      </c>
      <c r="X45" s="128">
        <f t="shared" si="15"/>
        <v>0</v>
      </c>
      <c r="Y45" s="128">
        <f t="shared" si="15"/>
        <v>0</v>
      </c>
      <c r="Z45" s="128">
        <f t="shared" si="15"/>
        <v>0</v>
      </c>
      <c r="AA45" s="128">
        <f t="shared" si="15"/>
        <v>0</v>
      </c>
      <c r="AB45" s="128">
        <f t="shared" si="15"/>
        <v>0</v>
      </c>
      <c r="AC45" s="128">
        <f t="shared" si="15"/>
        <v>0</v>
      </c>
      <c r="AD45" s="128">
        <f t="shared" si="15"/>
        <v>0</v>
      </c>
      <c r="AE45" s="128">
        <f t="shared" si="15"/>
        <v>0</v>
      </c>
      <c r="AF45" s="129">
        <f t="shared" si="15"/>
        <v>0</v>
      </c>
    </row>
    <row r="46" spans="1:32" x14ac:dyDescent="0.25">
      <c r="A46" s="23" t="s">
        <v>48</v>
      </c>
      <c r="B46" s="98"/>
      <c r="C46" s="99">
        <f t="shared" ref="C46:AF46" si="16">IF(C34&lt;$B$24,IF(C33&lt;$E$15,-C45,-$B$19*MAX(0,$E$15-(C33-C45/$B$19))),0)</f>
        <v>0</v>
      </c>
      <c r="D46" s="99">
        <v>0</v>
      </c>
      <c r="E46" s="99">
        <f t="shared" si="8"/>
        <v>0</v>
      </c>
      <c r="F46" s="99">
        <f t="shared" si="16"/>
        <v>0</v>
      </c>
      <c r="G46" s="99">
        <f t="shared" si="16"/>
        <v>0</v>
      </c>
      <c r="H46" s="99">
        <f t="shared" si="16"/>
        <v>0</v>
      </c>
      <c r="I46" s="99">
        <f t="shared" si="16"/>
        <v>0</v>
      </c>
      <c r="J46" s="99">
        <f t="shared" si="16"/>
        <v>0</v>
      </c>
      <c r="K46" s="99">
        <f t="shared" si="16"/>
        <v>0</v>
      </c>
      <c r="L46" s="99">
        <f t="shared" si="16"/>
        <v>0</v>
      </c>
      <c r="M46" s="99">
        <f t="shared" si="16"/>
        <v>0</v>
      </c>
      <c r="N46" s="99">
        <f t="shared" si="16"/>
        <v>0</v>
      </c>
      <c r="O46" s="99">
        <f t="shared" si="16"/>
        <v>0</v>
      </c>
      <c r="P46" s="99">
        <f t="shared" si="16"/>
        <v>0</v>
      </c>
      <c r="Q46" s="99">
        <f t="shared" si="16"/>
        <v>0</v>
      </c>
      <c r="R46" s="99">
        <f t="shared" si="16"/>
        <v>0</v>
      </c>
      <c r="S46" s="99">
        <f t="shared" si="16"/>
        <v>0</v>
      </c>
      <c r="T46" s="99">
        <f t="shared" si="16"/>
        <v>0</v>
      </c>
      <c r="U46" s="99">
        <f t="shared" si="16"/>
        <v>0</v>
      </c>
      <c r="V46" s="99">
        <f t="shared" si="16"/>
        <v>0</v>
      </c>
      <c r="W46" s="99">
        <f t="shared" si="16"/>
        <v>0</v>
      </c>
      <c r="X46" s="99">
        <f t="shared" si="16"/>
        <v>0</v>
      </c>
      <c r="Y46" s="99">
        <f t="shared" si="16"/>
        <v>0</v>
      </c>
      <c r="Z46" s="99">
        <f t="shared" si="16"/>
        <v>0</v>
      </c>
      <c r="AA46" s="99">
        <f t="shared" si="16"/>
        <v>0</v>
      </c>
      <c r="AB46" s="99">
        <f t="shared" si="16"/>
        <v>0</v>
      </c>
      <c r="AC46" s="99">
        <f t="shared" si="16"/>
        <v>0</v>
      </c>
      <c r="AD46" s="99">
        <f t="shared" si="16"/>
        <v>0</v>
      </c>
      <c r="AE46" s="99">
        <f t="shared" si="16"/>
        <v>0</v>
      </c>
      <c r="AF46" s="19">
        <f t="shared" si="16"/>
        <v>0</v>
      </c>
    </row>
    <row r="47" spans="1:32" x14ac:dyDescent="0.25">
      <c r="A47" s="5" t="s">
        <v>49</v>
      </c>
      <c r="B47" s="98"/>
      <c r="C47" s="99">
        <f t="shared" ref="C47:AF47" si="17">IF(C34&lt;=$B$24,IF(C33&lt;$E$15,0,MIN(MAX(0,$D$19-$E$14),-C40)*$B$19),0)</f>
        <v>384</v>
      </c>
      <c r="D47" s="99">
        <v>384</v>
      </c>
      <c r="E47" s="99">
        <f t="shared" si="8"/>
        <v>0</v>
      </c>
      <c r="F47" s="99">
        <f t="shared" si="17"/>
        <v>384</v>
      </c>
      <c r="G47" s="99">
        <f t="shared" si="17"/>
        <v>384</v>
      </c>
      <c r="H47" s="99">
        <f t="shared" si="17"/>
        <v>384</v>
      </c>
      <c r="I47" s="99">
        <f t="shared" si="17"/>
        <v>384</v>
      </c>
      <c r="J47" s="99">
        <f t="shared" si="17"/>
        <v>384</v>
      </c>
      <c r="K47" s="99">
        <f t="shared" si="17"/>
        <v>384</v>
      </c>
      <c r="L47" s="99">
        <f t="shared" si="17"/>
        <v>384</v>
      </c>
      <c r="M47" s="99">
        <f t="shared" si="17"/>
        <v>0</v>
      </c>
      <c r="N47" s="99">
        <f t="shared" si="17"/>
        <v>0</v>
      </c>
      <c r="O47" s="99">
        <f t="shared" si="17"/>
        <v>0</v>
      </c>
      <c r="P47" s="99">
        <f t="shared" si="17"/>
        <v>0</v>
      </c>
      <c r="Q47" s="99">
        <f t="shared" si="17"/>
        <v>0</v>
      </c>
      <c r="R47" s="99">
        <f t="shared" si="17"/>
        <v>0</v>
      </c>
      <c r="S47" s="99">
        <f t="shared" si="17"/>
        <v>0</v>
      </c>
      <c r="T47" s="99">
        <f t="shared" si="17"/>
        <v>0</v>
      </c>
      <c r="U47" s="99">
        <f t="shared" si="17"/>
        <v>0</v>
      </c>
      <c r="V47" s="99">
        <f t="shared" si="17"/>
        <v>0</v>
      </c>
      <c r="W47" s="99">
        <f t="shared" si="17"/>
        <v>0</v>
      </c>
      <c r="X47" s="99">
        <f t="shared" si="17"/>
        <v>0</v>
      </c>
      <c r="Y47" s="99">
        <f t="shared" si="17"/>
        <v>0</v>
      </c>
      <c r="Z47" s="99">
        <f t="shared" si="17"/>
        <v>0</v>
      </c>
      <c r="AA47" s="99">
        <f t="shared" si="17"/>
        <v>0</v>
      </c>
      <c r="AB47" s="99">
        <f t="shared" si="17"/>
        <v>0</v>
      </c>
      <c r="AC47" s="99">
        <f t="shared" si="17"/>
        <v>0</v>
      </c>
      <c r="AD47" s="99">
        <f t="shared" si="17"/>
        <v>0</v>
      </c>
      <c r="AE47" s="99">
        <f t="shared" si="17"/>
        <v>0</v>
      </c>
      <c r="AF47" s="19">
        <f t="shared" si="17"/>
        <v>0</v>
      </c>
    </row>
    <row r="48" spans="1:32" x14ac:dyDescent="0.25">
      <c r="A48" s="5" t="s">
        <v>50</v>
      </c>
      <c r="B48" s="98"/>
      <c r="C48" s="99">
        <f t="shared" ref="C48:AF48" si="18">IF(C34=$B$24,C28-C29,0)</f>
        <v>0</v>
      </c>
      <c r="D48" s="99">
        <v>0</v>
      </c>
      <c r="E48" s="99">
        <f t="shared" si="8"/>
        <v>0</v>
      </c>
      <c r="F48" s="99">
        <f t="shared" si="18"/>
        <v>0</v>
      </c>
      <c r="G48" s="99">
        <f t="shared" si="18"/>
        <v>0</v>
      </c>
      <c r="H48" s="99">
        <f t="shared" si="18"/>
        <v>0</v>
      </c>
      <c r="I48" s="99">
        <f t="shared" si="18"/>
        <v>0</v>
      </c>
      <c r="J48" s="99">
        <f t="shared" si="18"/>
        <v>0</v>
      </c>
      <c r="K48" s="99">
        <f t="shared" si="18"/>
        <v>0</v>
      </c>
      <c r="L48" s="99">
        <f t="shared" si="18"/>
        <v>160344.45366390375</v>
      </c>
      <c r="M48" s="99">
        <f t="shared" si="18"/>
        <v>0</v>
      </c>
      <c r="N48" s="99">
        <f t="shared" si="18"/>
        <v>0</v>
      </c>
      <c r="O48" s="99">
        <f t="shared" si="18"/>
        <v>0</v>
      </c>
      <c r="P48" s="99">
        <f t="shared" si="18"/>
        <v>0</v>
      </c>
      <c r="Q48" s="99">
        <f t="shared" si="18"/>
        <v>0</v>
      </c>
      <c r="R48" s="99">
        <f t="shared" si="18"/>
        <v>0</v>
      </c>
      <c r="S48" s="99">
        <f t="shared" si="18"/>
        <v>0</v>
      </c>
      <c r="T48" s="99">
        <f t="shared" si="18"/>
        <v>0</v>
      </c>
      <c r="U48" s="99">
        <f t="shared" si="18"/>
        <v>0</v>
      </c>
      <c r="V48" s="99">
        <f t="shared" si="18"/>
        <v>0</v>
      </c>
      <c r="W48" s="99">
        <f t="shared" si="18"/>
        <v>0</v>
      </c>
      <c r="X48" s="99">
        <f t="shared" si="18"/>
        <v>0</v>
      </c>
      <c r="Y48" s="99">
        <f t="shared" si="18"/>
        <v>0</v>
      </c>
      <c r="Z48" s="99">
        <f t="shared" si="18"/>
        <v>0</v>
      </c>
      <c r="AA48" s="99">
        <f t="shared" si="18"/>
        <v>0</v>
      </c>
      <c r="AB48" s="99">
        <f t="shared" si="18"/>
        <v>0</v>
      </c>
      <c r="AC48" s="99">
        <f t="shared" si="18"/>
        <v>0</v>
      </c>
      <c r="AD48" s="99">
        <f t="shared" si="18"/>
        <v>0</v>
      </c>
      <c r="AE48" s="99">
        <f t="shared" si="18"/>
        <v>0</v>
      </c>
      <c r="AF48" s="19">
        <f t="shared" si="18"/>
        <v>0</v>
      </c>
    </row>
    <row r="49" spans="1:33" ht="15.75" thickBot="1" x14ac:dyDescent="0.3">
      <c r="A49" s="6" t="s">
        <v>51</v>
      </c>
      <c r="B49" s="24"/>
      <c r="C49" s="25">
        <f t="shared" ref="C49:AF49" si="19">IF(C34=$B$24,-C28*$B$25,0)</f>
        <v>0</v>
      </c>
      <c r="D49" s="25">
        <v>0</v>
      </c>
      <c r="E49" s="99">
        <f t="shared" si="8"/>
        <v>0</v>
      </c>
      <c r="F49" s="25">
        <f t="shared" si="19"/>
        <v>0</v>
      </c>
      <c r="G49" s="25">
        <f t="shared" si="19"/>
        <v>0</v>
      </c>
      <c r="H49" s="25">
        <f t="shared" si="19"/>
        <v>0</v>
      </c>
      <c r="I49" s="25">
        <f t="shared" si="19"/>
        <v>0</v>
      </c>
      <c r="J49" s="25">
        <f t="shared" si="19"/>
        <v>0</v>
      </c>
      <c r="K49" s="25">
        <f t="shared" si="19"/>
        <v>0</v>
      </c>
      <c r="L49" s="25">
        <f t="shared" si="19"/>
        <v>-28585.419148877063</v>
      </c>
      <c r="M49" s="25">
        <f t="shared" si="19"/>
        <v>0</v>
      </c>
      <c r="N49" s="25">
        <f t="shared" si="19"/>
        <v>0</v>
      </c>
      <c r="O49" s="25">
        <f t="shared" si="19"/>
        <v>0</v>
      </c>
      <c r="P49" s="25">
        <f t="shared" si="19"/>
        <v>0</v>
      </c>
      <c r="Q49" s="25">
        <f t="shared" si="19"/>
        <v>0</v>
      </c>
      <c r="R49" s="25">
        <f t="shared" si="19"/>
        <v>0</v>
      </c>
      <c r="S49" s="25">
        <f t="shared" si="19"/>
        <v>0</v>
      </c>
      <c r="T49" s="25">
        <f t="shared" si="19"/>
        <v>0</v>
      </c>
      <c r="U49" s="25">
        <f t="shared" si="19"/>
        <v>0</v>
      </c>
      <c r="V49" s="25">
        <f t="shared" si="19"/>
        <v>0</v>
      </c>
      <c r="W49" s="25">
        <f t="shared" si="19"/>
        <v>0</v>
      </c>
      <c r="X49" s="25">
        <f t="shared" si="19"/>
        <v>0</v>
      </c>
      <c r="Y49" s="25">
        <f t="shared" si="19"/>
        <v>0</v>
      </c>
      <c r="Z49" s="25">
        <f t="shared" si="19"/>
        <v>0</v>
      </c>
      <c r="AA49" s="25">
        <f t="shared" si="19"/>
        <v>0</v>
      </c>
      <c r="AB49" s="25">
        <f t="shared" si="19"/>
        <v>0</v>
      </c>
      <c r="AC49" s="25">
        <f t="shared" si="19"/>
        <v>0</v>
      </c>
      <c r="AD49" s="25">
        <f t="shared" si="19"/>
        <v>0</v>
      </c>
      <c r="AE49" s="25">
        <f t="shared" si="19"/>
        <v>0</v>
      </c>
      <c r="AF49" s="26">
        <f t="shared" si="19"/>
        <v>0</v>
      </c>
    </row>
    <row r="50" spans="1:33" x14ac:dyDescent="0.25">
      <c r="A50" s="1" t="s">
        <v>52</v>
      </c>
      <c r="B50" s="45">
        <f>SUM(B35:B49)</f>
        <v>-26800</v>
      </c>
      <c r="C50" s="45">
        <f t="shared" ref="C50:AF50" si="20">SUM(C35:C49)</f>
        <v>-1466.2413728613706</v>
      </c>
      <c r="D50" s="45">
        <f t="shared" si="20"/>
        <v>-65.364893479511238</v>
      </c>
      <c r="E50" s="45">
        <f>SUM(E35:E49)</f>
        <v>-1400.8764793818557</v>
      </c>
      <c r="F50" s="45">
        <f t="shared" si="20"/>
        <v>-26528.348745853655</v>
      </c>
      <c r="G50" s="45">
        <f t="shared" si="20"/>
        <v>-26806.420941846187</v>
      </c>
      <c r="H50" s="45">
        <f t="shared" si="20"/>
        <v>-27090.390244731028</v>
      </c>
      <c r="I50" s="45">
        <f t="shared" si="20"/>
        <v>-25616.383659546282</v>
      </c>
      <c r="J50" s="45">
        <f t="shared" si="20"/>
        <v>-25912.530976129128</v>
      </c>
      <c r="K50" s="45">
        <f t="shared" si="20"/>
        <v>-26214.964831418631</v>
      </c>
      <c r="L50" s="45">
        <f t="shared" si="20"/>
        <v>105235.21374184365</v>
      </c>
      <c r="M50" s="45">
        <f t="shared" si="20"/>
        <v>0</v>
      </c>
      <c r="N50" s="45">
        <f t="shared" si="20"/>
        <v>0</v>
      </c>
      <c r="O50" s="45">
        <f t="shared" si="20"/>
        <v>0</v>
      </c>
      <c r="P50" s="45">
        <f t="shared" si="20"/>
        <v>0</v>
      </c>
      <c r="Q50" s="45">
        <f t="shared" si="20"/>
        <v>0</v>
      </c>
      <c r="R50" s="45">
        <f t="shared" si="20"/>
        <v>0</v>
      </c>
      <c r="S50" s="45">
        <f t="shared" si="20"/>
        <v>0</v>
      </c>
      <c r="T50" s="45">
        <f t="shared" si="20"/>
        <v>0</v>
      </c>
      <c r="U50" s="45">
        <f t="shared" si="20"/>
        <v>0</v>
      </c>
      <c r="V50" s="45">
        <f t="shared" si="20"/>
        <v>0</v>
      </c>
      <c r="W50" s="45">
        <f t="shared" si="20"/>
        <v>0</v>
      </c>
      <c r="X50" s="45">
        <f t="shared" si="20"/>
        <v>0</v>
      </c>
      <c r="Y50" s="45">
        <f t="shared" si="20"/>
        <v>0</v>
      </c>
      <c r="Z50" s="45">
        <f t="shared" si="20"/>
        <v>0</v>
      </c>
      <c r="AA50" s="45">
        <f t="shared" si="20"/>
        <v>0</v>
      </c>
      <c r="AB50" s="45">
        <f t="shared" si="20"/>
        <v>0</v>
      </c>
      <c r="AC50" s="45">
        <f t="shared" si="20"/>
        <v>0</v>
      </c>
      <c r="AD50" s="45">
        <f t="shared" si="20"/>
        <v>0</v>
      </c>
      <c r="AE50" s="45">
        <f t="shared" si="20"/>
        <v>0</v>
      </c>
      <c r="AF50" s="45">
        <f t="shared" si="20"/>
        <v>0</v>
      </c>
      <c r="AG50" s="1"/>
    </row>
    <row r="51" spans="1:33" x14ac:dyDescent="0.25">
      <c r="A51" t="s">
        <v>53</v>
      </c>
      <c r="C51" s="3">
        <f t="shared" ref="C51:AF51" si="21">C50-C43</f>
        <v>-23066.241372861372</v>
      </c>
      <c r="D51" s="3">
        <f t="shared" si="21"/>
        <v>-21665.364893479513</v>
      </c>
      <c r="E51" s="3">
        <f t="shared" si="21"/>
        <v>-1400.8764793818557</v>
      </c>
      <c r="F51" s="3">
        <f t="shared" si="21"/>
        <v>-26528.348745853655</v>
      </c>
      <c r="G51" s="3">
        <f t="shared" si="21"/>
        <v>-26806.420941846187</v>
      </c>
      <c r="H51" s="3">
        <f t="shared" si="21"/>
        <v>-27090.390244731028</v>
      </c>
      <c r="I51" s="3">
        <f t="shared" si="21"/>
        <v>-25616.383659546282</v>
      </c>
      <c r="J51" s="3">
        <f t="shared" si="21"/>
        <v>-25912.530976129128</v>
      </c>
      <c r="K51" s="3">
        <f t="shared" si="21"/>
        <v>-26214.964831418631</v>
      </c>
      <c r="L51" s="3">
        <f t="shared" si="21"/>
        <v>105235.21374184365</v>
      </c>
      <c r="M51" s="3">
        <f t="shared" si="21"/>
        <v>0</v>
      </c>
      <c r="N51" s="3">
        <f t="shared" si="21"/>
        <v>0</v>
      </c>
      <c r="O51" s="3">
        <f t="shared" si="21"/>
        <v>0</v>
      </c>
      <c r="P51" s="3">
        <f t="shared" si="21"/>
        <v>0</v>
      </c>
      <c r="Q51" s="3">
        <f t="shared" si="21"/>
        <v>0</v>
      </c>
      <c r="R51" s="3">
        <f t="shared" si="21"/>
        <v>0</v>
      </c>
      <c r="S51" s="3">
        <f t="shared" si="21"/>
        <v>0</v>
      </c>
      <c r="T51" s="3">
        <f t="shared" si="21"/>
        <v>0</v>
      </c>
      <c r="U51" s="3">
        <f t="shared" si="21"/>
        <v>0</v>
      </c>
      <c r="V51" s="3">
        <f t="shared" si="21"/>
        <v>0</v>
      </c>
      <c r="W51" s="3">
        <f t="shared" si="21"/>
        <v>0</v>
      </c>
      <c r="X51" s="3">
        <f t="shared" si="21"/>
        <v>0</v>
      </c>
      <c r="Y51" s="3">
        <f t="shared" si="21"/>
        <v>0</v>
      </c>
      <c r="Z51" s="3">
        <f t="shared" si="21"/>
        <v>0</v>
      </c>
      <c r="AA51" s="3">
        <f t="shared" si="21"/>
        <v>0</v>
      </c>
      <c r="AB51" s="3">
        <f t="shared" si="21"/>
        <v>0</v>
      </c>
      <c r="AC51" s="3">
        <f t="shared" si="21"/>
        <v>0</v>
      </c>
      <c r="AD51" s="3">
        <f t="shared" si="21"/>
        <v>0</v>
      </c>
      <c r="AE51" s="3">
        <f t="shared" si="21"/>
        <v>0</v>
      </c>
      <c r="AF51" s="3">
        <f t="shared" si="21"/>
        <v>0</v>
      </c>
    </row>
    <row r="52" spans="1:33" x14ac:dyDescent="0.25">
      <c r="A52" s="8" t="s">
        <v>54</v>
      </c>
      <c r="B52" s="9">
        <f>IRR(B50:AF50,6%)</f>
        <v>-0.13471977781540545</v>
      </c>
      <c r="C52" s="14">
        <f>((1-0.35)*E8)-(800*12)+C51-(200*12)</f>
        <v>42933.758627138624</v>
      </c>
      <c r="D52" s="3">
        <f>D51/12</f>
        <v>-1805.4470744566261</v>
      </c>
      <c r="E52" s="3">
        <f t="shared" ref="E52:L52" si="22">E51/12</f>
        <v>-116.73970661515465</v>
      </c>
      <c r="F52" s="3">
        <f t="shared" si="22"/>
        <v>-2210.6957288211379</v>
      </c>
      <c r="G52" s="3">
        <f t="shared" si="22"/>
        <v>-2233.8684118205156</v>
      </c>
      <c r="H52" s="3">
        <f t="shared" si="22"/>
        <v>-2257.5325203942525</v>
      </c>
      <c r="I52" s="3">
        <f t="shared" si="22"/>
        <v>-2134.6986382955233</v>
      </c>
      <c r="J52" s="3">
        <f t="shared" si="22"/>
        <v>-2159.3775813440939</v>
      </c>
      <c r="K52" s="3">
        <f t="shared" si="22"/>
        <v>-2184.5804026182191</v>
      </c>
      <c r="L52" s="3">
        <f t="shared" si="22"/>
        <v>8769.6011451536378</v>
      </c>
    </row>
    <row r="53" spans="1:33" x14ac:dyDescent="0.25">
      <c r="B53" t="s">
        <v>121</v>
      </c>
      <c r="C53" s="3">
        <f>+C37+C39+C40+C41+C42</f>
        <v>-28091.65</v>
      </c>
      <c r="D53" s="15">
        <f>D50/12</f>
        <v>-5.4470744566259368</v>
      </c>
      <c r="E53" s="15">
        <f>E50/12</f>
        <v>-116.73970661515465</v>
      </c>
      <c r="F53" s="15">
        <f t="shared" ref="F53:L53" si="23">F50/12</f>
        <v>-2210.6957288211379</v>
      </c>
      <c r="G53" s="15">
        <f t="shared" si="23"/>
        <v>-2233.8684118205156</v>
      </c>
      <c r="H53" s="15">
        <f t="shared" si="23"/>
        <v>-2257.5325203942525</v>
      </c>
      <c r="I53" s="15">
        <f t="shared" si="23"/>
        <v>-2134.6986382955233</v>
      </c>
      <c r="J53" s="15">
        <f t="shared" si="23"/>
        <v>-2159.3775813440939</v>
      </c>
      <c r="K53" s="15">
        <f t="shared" si="23"/>
        <v>-2184.5804026182191</v>
      </c>
      <c r="L53" s="15">
        <f t="shared" si="23"/>
        <v>8769.6011451536378</v>
      </c>
      <c r="M53" s="15"/>
      <c r="N53" s="15"/>
      <c r="O53" s="15"/>
      <c r="P53" s="15"/>
    </row>
    <row r="54" spans="1:33" x14ac:dyDescent="0.25">
      <c r="B54" s="13"/>
      <c r="C54" s="13"/>
    </row>
    <row r="55" spans="1:33" x14ac:dyDescent="0.25">
      <c r="C55" s="13">
        <v>27200</v>
      </c>
    </row>
    <row r="56" spans="1:33" x14ac:dyDescent="0.25">
      <c r="A56" t="s">
        <v>116</v>
      </c>
      <c r="C56">
        <v>25600</v>
      </c>
      <c r="R56" s="12"/>
      <c r="T56" s="11"/>
    </row>
    <row r="57" spans="1:33" ht="15.75" thickBot="1" x14ac:dyDescent="0.3">
      <c r="A57" s="1" t="s">
        <v>55</v>
      </c>
      <c r="B57" s="14"/>
      <c r="C57" s="14">
        <f>C55-C56</f>
        <v>1600</v>
      </c>
    </row>
    <row r="58" spans="1:33" x14ac:dyDescent="0.25">
      <c r="A58" s="49" t="str">
        <f>"coumpounding interest FV%= (1+r^n)-1,  r=growth rate, n=# yrs owned"</f>
        <v>coumpounding interest FV%= (1+r^n)-1,  r=growth rate, n=# yrs owned</v>
      </c>
      <c r="B58" s="50"/>
      <c r="D58" s="16" t="s">
        <v>120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08"/>
    </row>
    <row r="59" spans="1:33" x14ac:dyDescent="0.25">
      <c r="A59" s="51" t="s">
        <v>56</v>
      </c>
      <c r="B59" s="52">
        <f>((1+B65)^$B$24)-1</f>
        <v>5.1917364223999991</v>
      </c>
      <c r="D59" s="5"/>
      <c r="F59" s="46" t="s">
        <v>8</v>
      </c>
      <c r="G59" s="46"/>
      <c r="O59" s="27"/>
      <c r="P59" s="27"/>
      <c r="Q59" s="27"/>
      <c r="R59" s="109"/>
      <c r="S59" s="27"/>
      <c r="T59" s="27"/>
      <c r="U59" s="27"/>
      <c r="V59" s="27"/>
      <c r="W59" s="27"/>
    </row>
    <row r="60" spans="1:33" x14ac:dyDescent="0.25">
      <c r="A60" s="51" t="s">
        <v>57</v>
      </c>
      <c r="B60" s="53">
        <f>B59*ABS($B$50)</f>
        <v>139138.53612031997</v>
      </c>
      <c r="D60" s="5"/>
      <c r="E60" s="110">
        <f>+H3</f>
        <v>-514253.50621673302</v>
      </c>
      <c r="F60" s="111">
        <v>350000</v>
      </c>
      <c r="G60" s="111">
        <v>400000</v>
      </c>
      <c r="H60" s="111">
        <v>450000</v>
      </c>
      <c r="I60" s="111">
        <v>475000</v>
      </c>
      <c r="J60" s="111">
        <v>500000</v>
      </c>
      <c r="K60" s="111">
        <v>525000</v>
      </c>
      <c r="L60" s="111">
        <v>550000</v>
      </c>
      <c r="M60" s="111">
        <v>575000</v>
      </c>
      <c r="N60" s="111">
        <v>600000</v>
      </c>
      <c r="O60" s="111">
        <v>625000</v>
      </c>
      <c r="P60" s="111">
        <v>650000</v>
      </c>
      <c r="Q60" s="111">
        <v>675000</v>
      </c>
      <c r="R60" s="44">
        <v>700000</v>
      </c>
      <c r="S60" s="27"/>
      <c r="T60" s="27"/>
      <c r="U60" s="27"/>
      <c r="V60" s="27"/>
      <c r="W60" s="27"/>
    </row>
    <row r="61" spans="1:33" ht="15" customHeight="1" thickBot="1" x14ac:dyDescent="0.3">
      <c r="A61" s="51" t="str">
        <f>"Gross After "&amp; $B$24 &amp;" yrs"</f>
        <v>Gross After 10 yrs</v>
      </c>
      <c r="B61" s="54">
        <f>B60-$B$50</f>
        <v>165938.53612031997</v>
      </c>
      <c r="D61" s="116" t="s">
        <v>119</v>
      </c>
      <c r="E61" s="115">
        <v>1000</v>
      </c>
      <c r="F61" s="112">
        <f t="dataTable" ref="F61:R76" dt2D="1" dtr="1" r1="D1" r2="J3"/>
        <v>-442687.55827804259</v>
      </c>
      <c r="G61" s="112">
        <v>-602828.28886568302</v>
      </c>
      <c r="H61" s="112">
        <v>-762502.48536241427</v>
      </c>
      <c r="I61" s="112">
        <v>-842229.67079120188</v>
      </c>
      <c r="J61" s="112">
        <v>-921903.80662492476</v>
      </c>
      <c r="K61" s="112">
        <v>-1001535.1499709829</v>
      </c>
      <c r="L61" s="112">
        <v>-1081131.4670560723</v>
      </c>
      <c r="M61" s="112">
        <v>-1160698.7480534522</v>
      </c>
      <c r="N61" s="112">
        <v>-1240241.6884814976</v>
      </c>
      <c r="O61" s="27">
        <v>-1319764.0217238779</v>
      </c>
      <c r="P61" s="27">
        <v>-1399268.7538685717</v>
      </c>
      <c r="Q61" s="27">
        <v>-1478758.3328444464</v>
      </c>
      <c r="R61" s="109">
        <v>-1558234.7723824854</v>
      </c>
      <c r="S61" s="27"/>
      <c r="T61" s="27"/>
      <c r="U61" s="27"/>
      <c r="V61" s="27"/>
      <c r="W61" s="27"/>
    </row>
    <row r="62" spans="1:33" ht="15.75" thickBot="1" x14ac:dyDescent="0.3">
      <c r="A62" s="51" t="s">
        <v>58</v>
      </c>
      <c r="B62" s="95">
        <v>30000</v>
      </c>
      <c r="C62" s="3"/>
      <c r="D62" s="5"/>
      <c r="E62" s="115">
        <v>1300</v>
      </c>
      <c r="F62" s="112">
        <v>-261854.95840315952</v>
      </c>
      <c r="G62" s="112">
        <v>-423346.92373626772</v>
      </c>
      <c r="H62" s="112">
        <v>-583857.47021391732</v>
      </c>
      <c r="I62" s="112">
        <v>-663893.12442718563</v>
      </c>
      <c r="J62" s="112">
        <v>-743825.92045606207</v>
      </c>
      <c r="K62" s="112">
        <v>-823677.17799683288</v>
      </c>
      <c r="L62" s="112">
        <v>-903462.68979018554</v>
      </c>
      <c r="M62" s="112">
        <v>-983194.40870212065</v>
      </c>
      <c r="N62" s="112">
        <v>-1062881.5507291467</v>
      </c>
      <c r="O62" s="27">
        <v>-1142531.3375413409</v>
      </c>
      <c r="P62" s="27">
        <v>-1222149.5092023932</v>
      </c>
      <c r="Q62" s="27">
        <v>-1301740.686151308</v>
      </c>
      <c r="R62" s="109">
        <v>-1381308.6298281394</v>
      </c>
      <c r="S62" s="27"/>
      <c r="T62" s="27"/>
      <c r="U62" s="27"/>
      <c r="V62" s="27"/>
      <c r="W62" s="27"/>
    </row>
    <row r="63" spans="1:33" x14ac:dyDescent="0.25">
      <c r="A63" s="51" t="s">
        <v>59</v>
      </c>
      <c r="B63" s="53">
        <f>-(AVERAGEIF($B$50:$AF$50,"&lt;&gt;0"))</f>
        <v>7515.1189457639994</v>
      </c>
      <c r="C63" s="3"/>
      <c r="D63" s="5"/>
      <c r="E63" s="115">
        <v>1500</v>
      </c>
      <c r="F63" s="112">
        <v>-139969.30924312701</v>
      </c>
      <c r="G63" s="112">
        <v>-302816.96402079263</v>
      </c>
      <c r="H63" s="112">
        <v>-464124.50053890422</v>
      </c>
      <c r="I63" s="112">
        <v>-544445.9753282133</v>
      </c>
      <c r="J63" s="112">
        <v>-624615.05523644504</v>
      </c>
      <c r="K63" s="112">
        <v>-704664.76707780978</v>
      </c>
      <c r="L63" s="112">
        <v>-784619.21391930524</v>
      </c>
      <c r="M63" s="112">
        <v>-864496.40612775309</v>
      </c>
      <c r="N63" s="112">
        <v>-944310.07639277563</v>
      </c>
      <c r="O63" s="27">
        <v>-1024070.8809884277</v>
      </c>
      <c r="P63" s="27">
        <v>-1103787.21696166</v>
      </c>
      <c r="Q63" s="27">
        <v>-1183465.7915232822</v>
      </c>
      <c r="R63" s="109">
        <v>-1263112.0272344854</v>
      </c>
      <c r="S63" s="27"/>
      <c r="T63" s="27"/>
      <c r="U63" s="27"/>
      <c r="V63" s="27"/>
      <c r="W63" s="27"/>
    </row>
    <row r="64" spans="1:33" ht="15.75" thickBot="1" x14ac:dyDescent="0.3">
      <c r="A64" s="51" t="s">
        <v>60</v>
      </c>
      <c r="B64" s="55">
        <f>((IF(B63&gt;0,B63,0))+B62)</f>
        <v>37515.118945763999</v>
      </c>
      <c r="C64" s="3"/>
      <c r="D64" s="5"/>
      <c r="E64" s="115">
        <f>+E63+500</f>
        <v>2000</v>
      </c>
      <c r="F64" s="112">
        <v>61097.640869070776</v>
      </c>
      <c r="G64" s="112">
        <v>-40125.007962312782</v>
      </c>
      <c r="H64" s="112">
        <v>-161968.09768932674</v>
      </c>
      <c r="I64" s="112">
        <v>-243405.31270142714</v>
      </c>
      <c r="J64" s="112">
        <v>-324476.88480881602</v>
      </c>
      <c r="K64" s="112">
        <v>-405270.60988121806</v>
      </c>
      <c r="L64" s="112">
        <v>-485848.2916686004</v>
      </c>
      <c r="M64" s="112">
        <v>-566254.68474600348</v>
      </c>
      <c r="N64" s="112">
        <v>-646522.98980427324</v>
      </c>
      <c r="O64" s="27">
        <v>-726678.35448116134</v>
      </c>
      <c r="P64" s="27">
        <v>-806740.17477087094</v>
      </c>
      <c r="Q64" s="27">
        <v>-886723.65009303554</v>
      </c>
      <c r="R64" s="109">
        <v>-966640.85977025866</v>
      </c>
      <c r="S64" s="27"/>
      <c r="T64" s="27"/>
      <c r="U64" s="27"/>
      <c r="V64" s="27"/>
      <c r="W64" s="27"/>
    </row>
    <row r="65" spans="1:23" ht="15.75" thickBot="1" x14ac:dyDescent="0.3">
      <c r="A65" s="51" t="s">
        <v>61</v>
      </c>
      <c r="B65" s="96">
        <v>0.2</v>
      </c>
      <c r="D65" s="5"/>
      <c r="E65" s="115">
        <f t="shared" ref="E65:E76" si="24">+E64+250</f>
        <v>2250</v>
      </c>
      <c r="F65" s="112">
        <v>153688.69186669949</v>
      </c>
      <c r="G65" s="112">
        <v>47565.030714316992</v>
      </c>
      <c r="H65" s="112">
        <v>-51976.83269898023</v>
      </c>
      <c r="I65" s="112">
        <v>-100475.13957497885</v>
      </c>
      <c r="J65" s="112">
        <v>-173038.94621212815</v>
      </c>
      <c r="K65" s="112">
        <v>-254380.36114327656</v>
      </c>
      <c r="L65" s="112">
        <v>-335409.92560601758</v>
      </c>
      <c r="M65" s="112">
        <v>-416194.91570927342</v>
      </c>
      <c r="N65" s="112">
        <v>-496784.62723345845</v>
      </c>
      <c r="O65" s="27">
        <v>-577215.98407414136</v>
      </c>
      <c r="P65" s="27">
        <v>-657517.17932957073</v>
      </c>
      <c r="Q65" s="27">
        <v>-737710.10590792017</v>
      </c>
      <c r="R65" s="109">
        <v>-817812.01986240922</v>
      </c>
      <c r="S65" s="27"/>
      <c r="T65" s="27"/>
      <c r="U65" s="27"/>
      <c r="V65" s="27"/>
      <c r="W65" s="27"/>
    </row>
    <row r="66" spans="1:23" x14ac:dyDescent="0.25">
      <c r="A66" s="56" t="s">
        <v>62</v>
      </c>
      <c r="B66" s="57">
        <f>$B$24</f>
        <v>10</v>
      </c>
      <c r="D66" s="5"/>
      <c r="E66" s="115">
        <f t="shared" si="24"/>
        <v>2500</v>
      </c>
      <c r="F66" s="112">
        <v>249997.91549686121</v>
      </c>
      <c r="G66" s="112">
        <v>137637.31812640443</v>
      </c>
      <c r="H66" s="112">
        <v>34709.229408329353</v>
      </c>
      <c r="I66" s="112">
        <v>-14900.588349571684</v>
      </c>
      <c r="J66" s="112">
        <v>-63730.266978946282</v>
      </c>
      <c r="K66" s="112">
        <v>-111981.43152177066</v>
      </c>
      <c r="L66" s="112">
        <v>-184137.86437880492</v>
      </c>
      <c r="M66" s="112">
        <v>-265398.65059197252</v>
      </c>
      <c r="N66" s="112">
        <v>-346389.17798939894</v>
      </c>
      <c r="O66" s="27">
        <v>-427162.3160227139</v>
      </c>
      <c r="P66" s="27">
        <v>-507758.07315910317</v>
      </c>
      <c r="Q66" s="27">
        <v>-588207.26019067003</v>
      </c>
      <c r="R66" s="109">
        <v>-668533.97682038043</v>
      </c>
      <c r="S66" s="27"/>
      <c r="T66" s="27"/>
      <c r="U66" s="27"/>
      <c r="V66" s="27"/>
      <c r="W66" s="27"/>
    </row>
    <row r="67" spans="1:23" x14ac:dyDescent="0.25">
      <c r="A67" s="51"/>
      <c r="B67" s="58"/>
      <c r="D67" s="5"/>
      <c r="E67" s="115">
        <f t="shared" si="24"/>
        <v>2750</v>
      </c>
      <c r="F67" s="112">
        <v>349607.96173955209</v>
      </c>
      <c r="G67" s="112">
        <v>230373.60520733241</v>
      </c>
      <c r="H67" s="112">
        <v>123200.73442333448</v>
      </c>
      <c r="I67" s="112">
        <v>72178.247479116078</v>
      </c>
      <c r="J67" s="112">
        <v>22242.4142045232</v>
      </c>
      <c r="K67" s="112">
        <v>-26891.15881070937</v>
      </c>
      <c r="L67" s="112">
        <v>-75419.035690511693</v>
      </c>
      <c r="M67" s="112">
        <v>-123480.00177817908</v>
      </c>
      <c r="N67" s="112">
        <v>-195256.98656149069</v>
      </c>
      <c r="O67" s="27">
        <v>-276449.19711721828</v>
      </c>
      <c r="P67" s="27">
        <v>-357404.0163061989</v>
      </c>
      <c r="Q67" s="27">
        <v>-438163.88956169144</v>
      </c>
      <c r="R67" s="109">
        <v>-518761.79701879702</v>
      </c>
      <c r="S67" s="27"/>
      <c r="T67" s="27"/>
      <c r="U67" s="27"/>
      <c r="V67" s="27"/>
      <c r="W67" s="27"/>
    </row>
    <row r="68" spans="1:23" x14ac:dyDescent="0.25">
      <c r="A68" s="59" t="s">
        <v>63</v>
      </c>
      <c r="B68" s="58"/>
      <c r="D68" s="5"/>
      <c r="E68" s="115">
        <f t="shared" si="24"/>
        <v>3000</v>
      </c>
      <c r="F68" s="112">
        <v>451303.18836058851</v>
      </c>
      <c r="G68" s="112">
        <v>325800.21785760648</v>
      </c>
      <c r="H68" s="112">
        <v>213703.36326290807</v>
      </c>
      <c r="I68" s="112">
        <v>160953.21727725747</v>
      </c>
      <c r="J68" s="112">
        <v>109653.21789243142</v>
      </c>
      <c r="K68" s="112">
        <v>59430.319496902404</v>
      </c>
      <c r="L68" s="112">
        <v>10020.283721127082</v>
      </c>
      <c r="M68" s="112">
        <v>-38765.356625842629</v>
      </c>
      <c r="N68" s="112">
        <v>-87062.990992169944</v>
      </c>
      <c r="O68" s="27">
        <v>-134973.01574150589</v>
      </c>
      <c r="P68" s="27">
        <v>-206391.12732941844</v>
      </c>
      <c r="Q68" s="27">
        <v>-287524.419484757</v>
      </c>
      <c r="R68" s="109">
        <v>-368446.79268018773</v>
      </c>
      <c r="S68" s="27"/>
      <c r="T68" s="27"/>
      <c r="U68" s="27"/>
      <c r="V68" s="27"/>
      <c r="W68" s="27"/>
    </row>
    <row r="69" spans="1:23" x14ac:dyDescent="0.25">
      <c r="A69" s="60" t="s">
        <v>64</v>
      </c>
      <c r="B69" s="61">
        <f>FV(B65,B66,-B64,0,0)</f>
        <v>973843.04710695602</v>
      </c>
      <c r="D69" s="5"/>
      <c r="E69" s="115">
        <f t="shared" si="24"/>
        <v>3250</v>
      </c>
      <c r="F69" s="112">
        <v>553741.51126003626</v>
      </c>
      <c r="G69" s="112">
        <v>423555.90927387914</v>
      </c>
      <c r="H69" s="112">
        <v>306321.90072740312</v>
      </c>
      <c r="I69" s="112">
        <v>251572.70164976735</v>
      </c>
      <c r="J69" s="112">
        <v>198652.87365602539</v>
      </c>
      <c r="K69" s="112">
        <v>147121.11978842155</v>
      </c>
      <c r="L69" s="112">
        <v>96646.681274356321</v>
      </c>
      <c r="M69" s="112">
        <v>46986.564543616027</v>
      </c>
      <c r="N69" s="112">
        <v>-2037.7023071823642</v>
      </c>
      <c r="O69" s="27">
        <v>-50558.352332888404</v>
      </c>
      <c r="P69" s="27">
        <v>-98674.595144109451</v>
      </c>
      <c r="Q69" s="27">
        <v>-146461.89798230666</v>
      </c>
      <c r="R69" s="109">
        <v>-217536.73206162883</v>
      </c>
      <c r="S69" s="27"/>
      <c r="T69" s="27"/>
      <c r="U69" s="27"/>
      <c r="V69" s="27"/>
      <c r="W69" s="27"/>
    </row>
    <row r="70" spans="1:23" ht="15.75" thickBot="1" x14ac:dyDescent="0.3">
      <c r="A70" s="62" t="s">
        <v>65</v>
      </c>
      <c r="B70" s="63">
        <f>B69+B61</f>
        <v>1139781.5832272759</v>
      </c>
      <c r="C70" t="str">
        <f>"Gross After "&amp; $B$24 &amp;" yrs"</f>
        <v>Gross After 10 yrs</v>
      </c>
      <c r="D70" s="5"/>
      <c r="E70" s="115">
        <f t="shared" si="24"/>
        <v>3500</v>
      </c>
      <c r="F70" s="112">
        <v>656068.25208788028</v>
      </c>
      <c r="G70" s="112">
        <v>522952.81999193411</v>
      </c>
      <c r="H70" s="112">
        <v>400988.6700884623</v>
      </c>
      <c r="I70" s="112">
        <v>344092.58020861004</v>
      </c>
      <c r="J70" s="112">
        <v>289346.27142836945</v>
      </c>
      <c r="K70" s="112">
        <v>236298.37105448893</v>
      </c>
      <c r="L70" s="112">
        <v>184573.4885665318</v>
      </c>
      <c r="M70" s="112">
        <v>133879.27438192884</v>
      </c>
      <c r="N70" s="112">
        <v>83993.811026729643</v>
      </c>
      <c r="O70" s="27">
        <v>34749.634316527983</v>
      </c>
      <c r="P70" s="27">
        <v>-13980.122181794606</v>
      </c>
      <c r="Q70" s="27">
        <v>-62292.400627578609</v>
      </c>
      <c r="R70" s="109">
        <v>-110262.07258675562</v>
      </c>
    </row>
    <row r="71" spans="1:23" x14ac:dyDescent="0.25">
      <c r="B71" s="41"/>
      <c r="D71" s="5"/>
      <c r="E71" s="115">
        <f t="shared" si="24"/>
        <v>3750</v>
      </c>
      <c r="F71" s="112">
        <v>757948.7779077891</v>
      </c>
      <c r="G71" s="112">
        <v>623236.8542787598</v>
      </c>
      <c r="H71" s="112">
        <v>497431.78498960263</v>
      </c>
      <c r="I71" s="112">
        <v>438430.41375989909</v>
      </c>
      <c r="J71" s="112">
        <v>381756.59866900113</v>
      </c>
      <c r="K71" s="112">
        <v>327034.35443084175</v>
      </c>
      <c r="L71" s="112">
        <v>273890.7687493593</v>
      </c>
      <c r="M71" s="112">
        <v>222005.0848137557</v>
      </c>
      <c r="N71" s="112">
        <v>171119.11995794438</v>
      </c>
      <c r="O71" s="112">
        <v>121031.09094334953</v>
      </c>
      <c r="P71" s="112">
        <v>71584.90308008017</v>
      </c>
      <c r="Q71" s="112">
        <v>22659.816290027695</v>
      </c>
      <c r="R71" s="124">
        <v>-25838.052769586444</v>
      </c>
    </row>
    <row r="72" spans="1:23" x14ac:dyDescent="0.25">
      <c r="A72" s="67" t="s">
        <v>117</v>
      </c>
      <c r="D72" s="5"/>
      <c r="E72" s="115">
        <f t="shared" si="24"/>
        <v>4000</v>
      </c>
      <c r="F72" s="112">
        <v>859344.4442809046</v>
      </c>
      <c r="G72" s="112">
        <v>723829.15789187117</v>
      </c>
      <c r="H72" s="112">
        <v>595225.21300609992</v>
      </c>
      <c r="I72" s="112">
        <v>534352.42650983506</v>
      </c>
      <c r="J72" s="112">
        <v>475796.47224597679</v>
      </c>
      <c r="K72" s="112">
        <v>419330.70676733204</v>
      </c>
      <c r="L72" s="112">
        <v>364646.56190461735</v>
      </c>
      <c r="M72" s="112">
        <v>311432.47598378011</v>
      </c>
      <c r="N72" s="112">
        <v>259412.9166227344</v>
      </c>
      <c r="O72" s="27">
        <v>208359.70842953934</v>
      </c>
      <c r="P72" s="27">
        <v>158089.83411061252</v>
      </c>
      <c r="Q72" s="27">
        <v>108458.47724927776</v>
      </c>
      <c r="R72" s="109">
        <v>59351.43163750926</v>
      </c>
    </row>
    <row r="73" spans="1:23" ht="15.75" thickBot="1" x14ac:dyDescent="0.3">
      <c r="A73" s="22" t="s">
        <v>66</v>
      </c>
      <c r="D73" s="5"/>
      <c r="E73" s="115">
        <f t="shared" si="24"/>
        <v>4250</v>
      </c>
      <c r="F73" s="112">
        <v>960334.89370770275</v>
      </c>
      <c r="G73" s="112">
        <v>824395.87246164447</v>
      </c>
      <c r="H73" s="112">
        <v>693903.62943776441</v>
      </c>
      <c r="I73" s="112">
        <v>631514.09675078397</v>
      </c>
      <c r="J73" s="112">
        <v>571264.63478622795</v>
      </c>
      <c r="K73" s="112">
        <v>513100.546202278</v>
      </c>
      <c r="L73" s="112">
        <v>456828.55016851309</v>
      </c>
      <c r="M73" s="112">
        <v>402191.58330533863</v>
      </c>
      <c r="N73" s="112">
        <v>348926.59189350181</v>
      </c>
      <c r="O73" s="27">
        <v>296795.53459911933</v>
      </c>
      <c r="P73" s="27">
        <v>245596.39262087131</v>
      </c>
      <c r="Q73" s="27">
        <v>195163.35355133889</v>
      </c>
      <c r="R73" s="109">
        <v>145362.49014670681</v>
      </c>
    </row>
    <row r="74" spans="1:23" x14ac:dyDescent="0.25">
      <c r="A74" s="49" t="s">
        <v>58</v>
      </c>
      <c r="B74" s="64">
        <f>+B62</f>
        <v>30000</v>
      </c>
      <c r="D74" s="5"/>
      <c r="E74" s="115">
        <f t="shared" si="24"/>
        <v>4500</v>
      </c>
      <c r="F74" s="112">
        <v>1061029.7773156944</v>
      </c>
      <c r="G74" s="112">
        <v>924794.88355184044</v>
      </c>
      <c r="H74" s="112">
        <v>793071.03164502583</v>
      </c>
      <c r="I74" s="112">
        <v>729539.69805542869</v>
      </c>
      <c r="J74" s="112">
        <v>667878.21241054614</v>
      </c>
      <c r="K74" s="112">
        <v>608170.00186083722</v>
      </c>
      <c r="L74" s="112">
        <v>550353.24719928927</v>
      </c>
      <c r="M74" s="112">
        <v>494261.2879046828</v>
      </c>
      <c r="N74" s="112">
        <v>439677.12953815609</v>
      </c>
      <c r="O74" s="27">
        <v>386376.49663879769</v>
      </c>
      <c r="P74" s="27">
        <v>334152.53020153847</v>
      </c>
      <c r="Q74" s="27">
        <v>282825.9204746373</v>
      </c>
      <c r="R74" s="109">
        <v>232246.45543257473</v>
      </c>
    </row>
    <row r="75" spans="1:23" x14ac:dyDescent="0.25">
      <c r="A75" s="51" t="s">
        <v>67</v>
      </c>
      <c r="B75" s="53">
        <f>(AVERAGEIF($B$50:$AF$50,"&lt;&gt;0"))</f>
        <v>-7515.1189457639994</v>
      </c>
      <c r="D75" s="5"/>
      <c r="E75" s="115">
        <f t="shared" si="24"/>
        <v>4750</v>
      </c>
      <c r="F75" s="112">
        <v>1161533.7481392338</v>
      </c>
      <c r="G75" s="112">
        <v>1024997.5204813413</v>
      </c>
      <c r="H75" s="112">
        <v>892450.87949779001</v>
      </c>
      <c r="I75" s="112">
        <v>828098.19699028693</v>
      </c>
      <c r="J75" s="112">
        <v>765329.15354346833</v>
      </c>
      <c r="K75" s="112">
        <v>704303.68113994948</v>
      </c>
      <c r="L75" s="112">
        <v>645069.74269789062</v>
      </c>
      <c r="M75" s="112">
        <v>587562.91334957653</v>
      </c>
      <c r="N75" s="112">
        <v>531638.09376923786</v>
      </c>
      <c r="O75" s="112">
        <v>477109.97217683936</v>
      </c>
      <c r="P75" s="112">
        <v>423785.60499483044</v>
      </c>
      <c r="Q75" s="112">
        <v>371484.18234723248</v>
      </c>
      <c r="R75" s="124">
        <v>320046.07888811594</v>
      </c>
    </row>
    <row r="76" spans="1:23" ht="15.75" thickBot="1" x14ac:dyDescent="0.3">
      <c r="A76" s="51" t="s">
        <v>68</v>
      </c>
      <c r="B76" s="55">
        <f>(B75+B74)</f>
        <v>22484.881054236001</v>
      </c>
      <c r="D76" s="6"/>
      <c r="E76" s="117">
        <f t="shared" si="24"/>
        <v>5000</v>
      </c>
      <c r="F76" s="113">
        <v>1261935.4366346113</v>
      </c>
      <c r="G76" s="113">
        <v>1125030.3836244049</v>
      </c>
      <c r="H76" s="113">
        <v>991881.26138264197</v>
      </c>
      <c r="I76" s="113">
        <v>926943.41873328737</v>
      </c>
      <c r="J76" s="113">
        <v>863338.52068624878</v>
      </c>
      <c r="K76" s="113">
        <v>801245.59889675514</v>
      </c>
      <c r="L76" s="113">
        <v>740779.81408699416</v>
      </c>
      <c r="M76" s="113">
        <v>681964.80059904279</v>
      </c>
      <c r="N76" s="113">
        <v>624736.18225405458</v>
      </c>
      <c r="O76" s="113">
        <v>568966.55467425892</v>
      </c>
      <c r="P76" s="113">
        <v>514496.02516682586</v>
      </c>
      <c r="Q76" s="113">
        <v>461157.22358696116</v>
      </c>
      <c r="R76" s="114">
        <v>408791.21053633513</v>
      </c>
    </row>
    <row r="77" spans="1:23" x14ac:dyDescent="0.25">
      <c r="A77" s="51" t="s">
        <v>61</v>
      </c>
      <c r="B77" s="65">
        <f>B65</f>
        <v>0.2</v>
      </c>
      <c r="F77" s="118"/>
      <c r="G77" s="119"/>
      <c r="H77" s="119"/>
      <c r="I77" s="119"/>
      <c r="J77" s="119"/>
      <c r="K77" s="119"/>
      <c r="L77" s="119"/>
      <c r="M77" s="119"/>
      <c r="N77" s="119"/>
    </row>
    <row r="78" spans="1:23" ht="15" customHeight="1" x14ac:dyDescent="0.25">
      <c r="A78" s="51" t="s">
        <v>62</v>
      </c>
      <c r="B78" s="58">
        <f>$B$24</f>
        <v>10</v>
      </c>
      <c r="F78" s="118"/>
      <c r="G78" s="119"/>
      <c r="H78" s="119"/>
      <c r="I78" s="119"/>
      <c r="J78" s="119"/>
      <c r="K78" s="119"/>
      <c r="L78" s="119"/>
      <c r="M78" s="119"/>
      <c r="N78" s="119"/>
    </row>
    <row r="79" spans="1:23" ht="45" customHeight="1" x14ac:dyDescent="0.25">
      <c r="A79" s="51"/>
      <c r="B79" s="58"/>
      <c r="F79" s="119"/>
      <c r="G79" s="119"/>
      <c r="H79" s="119"/>
      <c r="I79" s="119"/>
      <c r="J79" s="119"/>
      <c r="K79" s="119"/>
      <c r="L79" s="119"/>
      <c r="M79" s="119"/>
      <c r="N79" s="119"/>
    </row>
    <row r="80" spans="1:23" x14ac:dyDescent="0.25">
      <c r="A80" s="51" t="str">
        <f>"FV of Investments After "&amp; $B$24 &amp;" yrs"</f>
        <v>FV of Investments After 10 yrs</v>
      </c>
      <c r="B80" s="66">
        <f>FV(B77,B78,-B76,0,0)</f>
        <v>583677.87961304362</v>
      </c>
      <c r="F80" s="119"/>
      <c r="G80" s="119"/>
      <c r="H80" s="119"/>
      <c r="I80" s="119"/>
      <c r="J80" s="119"/>
      <c r="K80" s="119"/>
      <c r="L80" s="119"/>
      <c r="M80" s="119"/>
      <c r="N80" s="119"/>
    </row>
    <row r="81" spans="1:14" x14ac:dyDescent="0.25">
      <c r="A81" s="51" t="s">
        <v>69</v>
      </c>
      <c r="B81" s="66">
        <f>B52*D1</f>
        <v>-45131.125568160824</v>
      </c>
      <c r="F81" s="119"/>
      <c r="G81" s="119"/>
      <c r="H81" s="119"/>
      <c r="I81" s="119"/>
      <c r="J81" s="119"/>
      <c r="K81" s="119"/>
      <c r="L81" s="119"/>
      <c r="M81" s="119"/>
      <c r="N81" s="119"/>
    </row>
    <row r="82" spans="1:14" x14ac:dyDescent="0.25">
      <c r="A82" s="67" t="str">
        <f>"Mortgage Balance After "&amp; $B$24 &amp;" yrs"</f>
        <v>Mortgage Balance After 10 yrs</v>
      </c>
      <c r="B82" s="66" cm="1">
        <f t="array" ref="B82">(MIN(IF($B$24=$C$27:$AF$27,$C$29:$AF$29)))</f>
        <v>248018.67703433998</v>
      </c>
      <c r="F82" s="119"/>
      <c r="G82" s="119"/>
      <c r="H82" s="119"/>
      <c r="I82" s="119"/>
      <c r="J82" s="119"/>
      <c r="K82" s="119"/>
      <c r="L82" s="119"/>
      <c r="M82" s="119"/>
      <c r="N82" s="119"/>
    </row>
    <row r="83" spans="1:14" x14ac:dyDescent="0.25">
      <c r="A83" s="51" t="str">
        <f>"Gross Value of Home After "&amp; $B$24 &amp;" yrs"</f>
        <v>Gross Value of Home After 10 yrs</v>
      </c>
      <c r="B83" s="54">
        <f>D1+B81-B82</f>
        <v>41850.197397499171</v>
      </c>
      <c r="F83" s="119"/>
      <c r="G83" s="119"/>
      <c r="H83" s="119"/>
      <c r="I83" s="119"/>
      <c r="J83" s="119"/>
      <c r="K83" s="119"/>
      <c r="L83" s="119"/>
      <c r="M83" s="119"/>
      <c r="N83" s="119"/>
    </row>
    <row r="84" spans="1:14" x14ac:dyDescent="0.25">
      <c r="A84" s="51" t="str">
        <f>"Gross Value of Home + FV of Investments After "&amp; $B$24 &amp;" yrs"</f>
        <v>Gross Value of Home + FV of Investments After 10 yrs</v>
      </c>
      <c r="B84" s="68">
        <f>B80+B83</f>
        <v>625528.07701054285</v>
      </c>
      <c r="C84" t="str">
        <f>"Gross After "&amp; $B$24 &amp;" yrs"</f>
        <v>Gross After 10 yrs</v>
      </c>
      <c r="F84" s="119"/>
      <c r="G84" s="119"/>
      <c r="H84" s="119"/>
      <c r="I84" s="119"/>
      <c r="J84" s="119"/>
      <c r="K84" s="119"/>
      <c r="L84" s="119"/>
      <c r="M84" s="119"/>
      <c r="N84" s="119"/>
    </row>
    <row r="85" spans="1:14" x14ac:dyDescent="0.25">
      <c r="A85" s="51"/>
      <c r="B85" s="66">
        <f>B88+B84</f>
        <v>661528.07701054285</v>
      </c>
      <c r="C85" t="str">
        <f>"Gross After "&amp; $B$24 &amp;" yrs" &amp;" + Rental income "</f>
        <v xml:space="preserve">Gross After 10 yrs + Rental income </v>
      </c>
      <c r="F85" s="119"/>
      <c r="G85" s="119"/>
      <c r="H85" s="119"/>
      <c r="I85" s="119"/>
      <c r="J85" s="119"/>
      <c r="K85" s="119"/>
      <c r="L85" s="119"/>
      <c r="M85" s="119"/>
      <c r="N85" s="119"/>
    </row>
    <row r="86" spans="1:14" x14ac:dyDescent="0.25">
      <c r="A86" s="51"/>
      <c r="B86" s="58">
        <v>1000</v>
      </c>
      <c r="F86" s="119"/>
      <c r="G86" s="119"/>
      <c r="H86" s="119"/>
      <c r="I86" s="119"/>
      <c r="J86" s="119"/>
      <c r="K86" s="119"/>
      <c r="L86" s="119"/>
      <c r="M86" s="119"/>
      <c r="N86" s="119"/>
    </row>
    <row r="87" spans="1:14" x14ac:dyDescent="0.25">
      <c r="A87" s="51"/>
      <c r="B87" s="58">
        <f>B86*12</f>
        <v>12000</v>
      </c>
      <c r="F87" s="119"/>
      <c r="G87" s="119"/>
      <c r="H87" s="119"/>
      <c r="I87" s="119"/>
      <c r="J87" s="119"/>
      <c r="K87" s="119"/>
      <c r="L87" s="119"/>
      <c r="M87" s="119"/>
      <c r="N87" s="119"/>
    </row>
    <row r="88" spans="1:14" ht="15.75" thickBot="1" x14ac:dyDescent="0.3">
      <c r="A88" s="62" t="s">
        <v>70</v>
      </c>
      <c r="B88" s="69">
        <f>(B87*10)*0.3</f>
        <v>36000</v>
      </c>
    </row>
    <row r="89" spans="1:14" x14ac:dyDescent="0.25">
      <c r="E89" s="15"/>
      <c r="F89" s="15"/>
      <c r="G89" s="15"/>
      <c r="H89" s="15"/>
      <c r="I89" s="15"/>
      <c r="J89" s="15"/>
      <c r="K89" s="15"/>
    </row>
    <row r="90" spans="1:14" x14ac:dyDescent="0.25">
      <c r="E90" s="15"/>
      <c r="F90" s="15"/>
      <c r="G90" s="15"/>
      <c r="I90" s="15"/>
      <c r="K90" s="123"/>
    </row>
    <row r="91" spans="1:14" x14ac:dyDescent="0.25">
      <c r="D91" s="42"/>
    </row>
    <row r="92" spans="1:14" x14ac:dyDescent="0.25">
      <c r="A92" s="29"/>
    </row>
    <row r="93" spans="1:14" x14ac:dyDescent="0.25">
      <c r="E93" s="120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" customHeight="1" x14ac:dyDescent="0.25">
      <c r="E94" s="3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60.75" customHeight="1" thickBot="1" x14ac:dyDescent="0.3">
      <c r="A95" s="1" t="s">
        <v>71</v>
      </c>
      <c r="B95" s="14"/>
      <c r="D95" s="132"/>
      <c r="E95" s="3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thickBot="1" x14ac:dyDescent="0.3">
      <c r="A96" s="49" t="str">
        <f>"coumpounding interest FV%= (1+r^10)-n,  r=growth rate, n=# yrs owned"</f>
        <v>coumpounding interest FV%= (1+r^10)-n,  r=growth rate, n=# yrs owned</v>
      </c>
      <c r="B96" s="50"/>
      <c r="D96" s="132"/>
      <c r="E96" s="3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thickBot="1" x14ac:dyDescent="0.3">
      <c r="A97" s="51" t="s">
        <v>61</v>
      </c>
      <c r="B97" s="97">
        <v>2.7E-2</v>
      </c>
      <c r="D97" s="132"/>
      <c r="E97" s="3"/>
      <c r="F97" s="27"/>
      <c r="G97" s="27"/>
      <c r="H97" s="27"/>
      <c r="I97" s="27"/>
      <c r="J97" s="27"/>
      <c r="K97" s="27"/>
      <c r="L97" s="27"/>
      <c r="M97" s="27"/>
      <c r="N97" s="27"/>
    </row>
    <row r="98" spans="1:14" x14ac:dyDescent="0.25">
      <c r="A98" s="51" t="s">
        <v>72</v>
      </c>
      <c r="B98" s="52">
        <f>((1+B97)^$B$24)-1</f>
        <v>0.30528226116089363</v>
      </c>
      <c r="D98" s="132"/>
      <c r="E98" s="3"/>
      <c r="F98" s="27"/>
      <c r="G98" s="27"/>
      <c r="H98" s="27"/>
      <c r="I98" s="27"/>
      <c r="J98" s="27"/>
      <c r="K98" s="27"/>
      <c r="L98" s="27"/>
      <c r="M98" s="27"/>
      <c r="N98" s="27"/>
    </row>
    <row r="99" spans="1:14" x14ac:dyDescent="0.25">
      <c r="A99" s="51" t="str">
        <f>"Mortgage Interest After "&amp; $B$24 &amp;" yrs"</f>
        <v>Mortgage Interest After 10 yrs</v>
      </c>
      <c r="B99" s="54">
        <f>+B98*D1</f>
        <v>102269.55748889937</v>
      </c>
      <c r="D99" s="132"/>
      <c r="E99" s="3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5.75" thickBot="1" x14ac:dyDescent="0.3">
      <c r="A100" s="62" t="s">
        <v>73</v>
      </c>
      <c r="B100" s="70">
        <f>+D1+B99</f>
        <v>437269.55748889939</v>
      </c>
      <c r="E100" s="3"/>
      <c r="F100" s="27"/>
      <c r="G100" s="27"/>
      <c r="H100" s="27"/>
      <c r="I100" s="27"/>
      <c r="J100" s="27"/>
      <c r="K100" s="27"/>
      <c r="L100" s="27"/>
      <c r="M100" s="27"/>
      <c r="N100" s="27"/>
    </row>
    <row r="101" spans="1:14" x14ac:dyDescent="0.25">
      <c r="E101" s="3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x14ac:dyDescent="0.25">
      <c r="E102" s="3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idden="1" x14ac:dyDescent="0.25">
      <c r="E103" s="3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idden="1" x14ac:dyDescent="0.25">
      <c r="H104" s="48"/>
    </row>
    <row r="105" spans="1:14" hidden="1" x14ac:dyDescent="0.25">
      <c r="D105" s="121"/>
    </row>
    <row r="107" spans="1:14" hidden="1" x14ac:dyDescent="0.25">
      <c r="D107" s="42"/>
    </row>
    <row r="109" spans="1:14" hidden="1" x14ac:dyDescent="0.25">
      <c r="E109" s="120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14" hidden="1" x14ac:dyDescent="0.25">
      <c r="E110" s="122"/>
      <c r="F110" s="27"/>
      <c r="G110" s="27"/>
      <c r="H110" s="27"/>
      <c r="I110" s="27"/>
      <c r="J110" s="27"/>
      <c r="K110" s="27"/>
      <c r="L110" s="27"/>
      <c r="M110" s="27"/>
      <c r="N110" s="27"/>
    </row>
    <row r="111" spans="1:14" ht="60" hidden="1" customHeight="1" x14ac:dyDescent="0.25">
      <c r="D111" s="132"/>
      <c r="E111" s="122"/>
      <c r="F111" s="27"/>
      <c r="G111" s="27"/>
      <c r="H111" s="27"/>
      <c r="I111" s="27"/>
      <c r="J111" s="27"/>
      <c r="K111" s="27"/>
      <c r="L111" s="27"/>
      <c r="M111" s="27"/>
      <c r="N111" s="27"/>
    </row>
    <row r="112" spans="1:14" hidden="1" x14ac:dyDescent="0.25">
      <c r="D112" s="132"/>
      <c r="E112" s="122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4:14" hidden="1" x14ac:dyDescent="0.25">
      <c r="D113" s="132"/>
      <c r="E113" s="122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4:14" hidden="1" x14ac:dyDescent="0.25">
      <c r="D114" s="132"/>
      <c r="E114" s="122"/>
      <c r="F114" s="27"/>
      <c r="G114" s="27"/>
      <c r="H114" s="27"/>
      <c r="I114" s="27"/>
      <c r="J114" s="27"/>
      <c r="K114" s="27"/>
      <c r="L114" s="27"/>
      <c r="M114" s="27"/>
      <c r="N114" s="27"/>
    </row>
    <row r="115" spans="4:14" hidden="1" x14ac:dyDescent="0.25">
      <c r="D115" s="132"/>
      <c r="E115" s="122"/>
      <c r="F115" s="27"/>
      <c r="G115" s="27"/>
      <c r="H115" s="27"/>
      <c r="I115" s="27"/>
      <c r="J115" s="27"/>
      <c r="K115" s="27"/>
      <c r="L115" s="27"/>
      <c r="M115" s="27"/>
      <c r="N115" s="27"/>
    </row>
    <row r="116" spans="4:14" hidden="1" x14ac:dyDescent="0.25">
      <c r="E116" s="122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4:14" hidden="1" x14ac:dyDescent="0.25">
      <c r="E117" s="122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4:14" hidden="1" x14ac:dyDescent="0.25">
      <c r="E118" s="122"/>
      <c r="F118" s="27"/>
      <c r="G118" s="27"/>
      <c r="H118" s="27"/>
      <c r="I118" s="27"/>
      <c r="J118" s="27"/>
      <c r="K118" s="27"/>
      <c r="L118" s="27"/>
      <c r="M118" s="27"/>
      <c r="N118" s="27"/>
    </row>
    <row r="119" spans="4:14" hidden="1" x14ac:dyDescent="0.25">
      <c r="E119" s="122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4:14" hidden="1" x14ac:dyDescent="0.25">
      <c r="E120" s="122"/>
      <c r="F120" s="27"/>
      <c r="G120" s="27"/>
      <c r="H120" s="27"/>
      <c r="I120" s="27"/>
      <c r="J120" s="27"/>
      <c r="K120" s="27"/>
      <c r="L120" s="27"/>
      <c r="M120" s="27"/>
      <c r="N120" s="27"/>
    </row>
    <row r="121" spans="4:14" hidden="1" x14ac:dyDescent="0.25">
      <c r="E121" s="122"/>
      <c r="F121" s="27"/>
      <c r="G121" s="27"/>
      <c r="H121" s="27"/>
      <c r="I121" s="27"/>
      <c r="J121" s="27"/>
      <c r="K121" s="27"/>
      <c r="L121" s="27"/>
      <c r="M121" s="27"/>
      <c r="N121" s="27"/>
    </row>
    <row r="122" spans="4:14" hidden="1" x14ac:dyDescent="0.25">
      <c r="E122" s="122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4:14" hidden="1" x14ac:dyDescent="0.25">
      <c r="E123" s="122"/>
      <c r="F123" s="27"/>
      <c r="G123" s="27"/>
      <c r="H123" s="27"/>
      <c r="I123" s="27"/>
      <c r="J123" s="27"/>
      <c r="K123" s="27"/>
      <c r="L123" s="27"/>
      <c r="M123" s="27"/>
      <c r="N123" s="27"/>
    </row>
    <row r="124" spans="4:14" hidden="1" x14ac:dyDescent="0.25">
      <c r="E124" s="122"/>
      <c r="F124" s="27"/>
      <c r="G124" s="27"/>
      <c r="H124" s="27"/>
      <c r="I124" s="27"/>
      <c r="J124" s="27"/>
      <c r="K124" s="27"/>
      <c r="L124" s="27"/>
      <c r="M124" s="27"/>
      <c r="N124" s="27"/>
    </row>
    <row r="125" spans="4:14" hidden="1" x14ac:dyDescent="0.25">
      <c r="E125" s="122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4:14" hidden="1" x14ac:dyDescent="0.25">
      <c r="E126" s="122"/>
      <c r="F126" s="27"/>
      <c r="G126" s="27"/>
      <c r="H126" s="27"/>
      <c r="I126" s="27"/>
      <c r="J126" s="27"/>
      <c r="K126" s="27"/>
      <c r="L126" s="27"/>
      <c r="M126" s="27"/>
      <c r="N126" s="27"/>
    </row>
    <row r="127" spans="4:14" hidden="1" x14ac:dyDescent="0.25">
      <c r="E127" s="122"/>
      <c r="F127" s="27"/>
      <c r="G127" s="27"/>
      <c r="H127" s="27"/>
      <c r="I127" s="27"/>
      <c r="J127" s="27"/>
      <c r="K127" s="27"/>
      <c r="L127" s="27"/>
      <c r="M127" s="27"/>
      <c r="N127" s="27"/>
    </row>
    <row r="128" spans="4:14" hidden="1" x14ac:dyDescent="0.25">
      <c r="E128" s="122"/>
      <c r="F128" s="27"/>
      <c r="G128" s="27"/>
      <c r="H128" s="27"/>
      <c r="I128" s="27"/>
      <c r="J128" s="27"/>
      <c r="K128" s="27"/>
      <c r="L128" s="27"/>
      <c r="M128" s="27"/>
      <c r="N128" s="27"/>
    </row>
    <row r="129" spans="5:14" hidden="1" x14ac:dyDescent="0.25">
      <c r="E129" s="122"/>
      <c r="F129" s="27"/>
      <c r="G129" s="27"/>
      <c r="H129" s="27"/>
      <c r="I129" s="27"/>
      <c r="J129" s="27"/>
      <c r="K129" s="27"/>
      <c r="L129" s="27"/>
      <c r="M129" s="27"/>
      <c r="N129" s="27"/>
    </row>
  </sheetData>
  <dataConsolidate/>
  <mergeCells count="2">
    <mergeCell ref="D95:D99"/>
    <mergeCell ref="D111:D115"/>
  </mergeCells>
  <conditionalFormatting sqref="C29:AF29">
    <cfRule type="cellIs" dxfId="36" priority="80" operator="equal">
      <formula>$B$82</formula>
    </cfRule>
  </conditionalFormatting>
  <conditionalFormatting sqref="E77:E86">
    <cfRule type="cellIs" dxfId="35" priority="78" operator="equal">
      <formula>$D$3</formula>
    </cfRule>
  </conditionalFormatting>
  <conditionalFormatting sqref="E61:R61">
    <cfRule type="expression" dxfId="34" priority="59">
      <formula>$E$61=$J$3</formula>
    </cfRule>
  </conditionalFormatting>
  <conditionalFormatting sqref="E62:R62">
    <cfRule type="expression" dxfId="33" priority="73">
      <formula>$E$62=$J$3</formula>
    </cfRule>
  </conditionalFormatting>
  <conditionalFormatting sqref="E63:R63">
    <cfRule type="expression" dxfId="32" priority="58">
      <formula>$E$63=$J$3</formula>
    </cfRule>
  </conditionalFormatting>
  <conditionalFormatting sqref="E64:R64">
    <cfRule type="expression" dxfId="31" priority="57">
      <formula>$E$64=$J$3</formula>
    </cfRule>
  </conditionalFormatting>
  <conditionalFormatting sqref="E65:R65">
    <cfRule type="expression" dxfId="30" priority="56">
      <formula>$E$65=$J$3</formula>
    </cfRule>
  </conditionalFormatting>
  <conditionalFormatting sqref="E66:R66">
    <cfRule type="expression" dxfId="29" priority="55">
      <formula>$E$66=$J$3</formula>
    </cfRule>
  </conditionalFormatting>
  <conditionalFormatting sqref="E67:R67">
    <cfRule type="expression" dxfId="28" priority="54">
      <formula>$E$67=$J$3</formula>
    </cfRule>
  </conditionalFormatting>
  <conditionalFormatting sqref="E68:R68">
    <cfRule type="expression" dxfId="27" priority="53">
      <formula>$E$68=$J$3</formula>
    </cfRule>
  </conditionalFormatting>
  <conditionalFormatting sqref="E69:R69 E72 E75">
    <cfRule type="expression" dxfId="26" priority="52">
      <formula>$E$69=$J$3</formula>
    </cfRule>
  </conditionalFormatting>
  <conditionalFormatting sqref="E70:R70 E73 E76">
    <cfRule type="expression" dxfId="25" priority="51">
      <formula>$E$70=$J$3</formula>
    </cfRule>
  </conditionalFormatting>
  <conditionalFormatting sqref="E71:R71 E74">
    <cfRule type="expression" dxfId="24" priority="50">
      <formula>$E$71=$J$3</formula>
    </cfRule>
  </conditionalFormatting>
  <conditionalFormatting sqref="F60:F76">
    <cfRule type="expression" dxfId="23" priority="46">
      <formula>$F$60=$D$1</formula>
    </cfRule>
  </conditionalFormatting>
  <conditionalFormatting sqref="F74:G74">
    <cfRule type="expression" dxfId="22" priority="38">
      <formula>$E$69=$J$3</formula>
    </cfRule>
  </conditionalFormatting>
  <conditionalFormatting sqref="F75:G75">
    <cfRule type="expression" dxfId="21" priority="37">
      <formula>$E$70=$J$3</formula>
    </cfRule>
  </conditionalFormatting>
  <conditionalFormatting sqref="F76:G76">
    <cfRule type="expression" dxfId="20" priority="36">
      <formula>$E$71=$J$3</formula>
    </cfRule>
  </conditionalFormatting>
  <conditionalFormatting sqref="F61:R76">
    <cfRule type="cellIs" dxfId="19" priority="16" operator="greaterThan">
      <formula>0</formula>
    </cfRule>
    <cfRule type="cellIs" dxfId="18" priority="15" operator="lessThan">
      <formula>0</formula>
    </cfRule>
    <cfRule type="cellIs" dxfId="17" priority="14" operator="equal">
      <formula>$H$3</formula>
    </cfRule>
  </conditionalFormatting>
  <conditionalFormatting sqref="G60:G76">
    <cfRule type="expression" dxfId="16" priority="39">
      <formula>$G$60=$D$1</formula>
    </cfRule>
  </conditionalFormatting>
  <conditionalFormatting sqref="H3">
    <cfRule type="cellIs" dxfId="15" priority="79" operator="greaterThanOrEqual">
      <formula>0</formula>
    </cfRule>
  </conditionalFormatting>
  <conditionalFormatting sqref="H60:H76">
    <cfRule type="expression" dxfId="14" priority="6">
      <formula>$H$60=$D$1</formula>
    </cfRule>
  </conditionalFormatting>
  <conditionalFormatting sqref="H72:R72">
    <cfRule type="expression" dxfId="13" priority="20">
      <formula>$E$72=$J$3</formula>
    </cfRule>
  </conditionalFormatting>
  <conditionalFormatting sqref="H73:R73">
    <cfRule type="expression" dxfId="12" priority="19">
      <formula>$E$73=$J$3</formula>
    </cfRule>
  </conditionalFormatting>
  <conditionalFormatting sqref="H74:R74">
    <cfRule type="expression" dxfId="11" priority="18">
      <formula>$E$70=$J$3</formula>
    </cfRule>
  </conditionalFormatting>
  <conditionalFormatting sqref="H75:R76">
    <cfRule type="expression" dxfId="10" priority="1">
      <formula>$E$71=$J$3</formula>
    </cfRule>
  </conditionalFormatting>
  <conditionalFormatting sqref="I60:I76">
    <cfRule type="expression" dxfId="9" priority="7">
      <formula>$I$60=$D$1</formula>
    </cfRule>
  </conditionalFormatting>
  <conditionalFormatting sqref="J60:J76">
    <cfRule type="expression" dxfId="8" priority="8">
      <formula>$J$60=$D$1</formula>
    </cfRule>
  </conditionalFormatting>
  <conditionalFormatting sqref="K60:K76">
    <cfRule type="expression" dxfId="7" priority="9">
      <formula>$K$60=$D$1</formula>
    </cfRule>
  </conditionalFormatting>
  <conditionalFormatting sqref="L60:L76">
    <cfRule type="expression" dxfId="6" priority="10">
      <formula>$L$60=$D$1</formula>
    </cfRule>
  </conditionalFormatting>
  <conditionalFormatting sqref="M60:M76">
    <cfRule type="expression" dxfId="5" priority="12">
      <formula>$M$60=$D$1</formula>
    </cfRule>
  </conditionalFormatting>
  <conditionalFormatting sqref="N60:N76">
    <cfRule type="expression" dxfId="4" priority="13">
      <formula>$N$60=$D$1</formula>
    </cfRule>
  </conditionalFormatting>
  <conditionalFormatting sqref="O60:O76">
    <cfRule type="expression" dxfId="3" priority="5">
      <formula>$O$60=$D$1</formula>
    </cfRule>
  </conditionalFormatting>
  <conditionalFormatting sqref="P60:P76">
    <cfRule type="expression" dxfId="2" priority="4">
      <formula>$P$60=$D$1</formula>
    </cfRule>
  </conditionalFormatting>
  <conditionalFormatting sqref="Q60:Q76">
    <cfRule type="expression" dxfId="1" priority="3">
      <formula>$Q$60=$D$1</formula>
    </cfRule>
  </conditionalFormatting>
  <conditionalFormatting sqref="R60:R76">
    <cfRule type="expression" dxfId="0" priority="2">
      <formula>$R$60=$D$1</formula>
    </cfRule>
  </conditionalFormatting>
  <pageMargins left="0.7" right="0.7" top="0.75" bottom="0.75" header="0.3" footer="0.3"/>
  <pageSetup scale="16" orientation="portrait" r:id="rId1"/>
  <headerFooter>
    <oddHeader>&amp;C&amp;G</oddHead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6DB2-AFCD-7945-AC4C-08D276DE0084}">
  <dimension ref="E5:E11"/>
  <sheetViews>
    <sheetView workbookViewId="0">
      <selection activeCell="E6" sqref="E6"/>
    </sheetView>
  </sheetViews>
  <sheetFormatPr defaultColWidth="11.42578125" defaultRowHeight="15" x14ac:dyDescent="0.25"/>
  <sheetData>
    <row r="5" spans="5:5" x14ac:dyDescent="0.25">
      <c r="E5">
        <v>252</v>
      </c>
    </row>
    <row r="7" spans="5:5" x14ac:dyDescent="0.25">
      <c r="E7">
        <v>45</v>
      </c>
    </row>
    <row r="8" spans="5:5" x14ac:dyDescent="0.25">
      <c r="E8">
        <v>798</v>
      </c>
    </row>
    <row r="9" spans="5:5" x14ac:dyDescent="0.25">
      <c r="E9">
        <v>81</v>
      </c>
    </row>
    <row r="11" spans="5:5" x14ac:dyDescent="0.25">
      <c r="E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D38" sqref="D38"/>
    </sheetView>
  </sheetViews>
  <sheetFormatPr defaultColWidth="8.85546875" defaultRowHeight="15" x14ac:dyDescent="0.25"/>
  <cols>
    <col min="1" max="1" width="49.42578125" bestFit="1" customWidth="1"/>
    <col min="2" max="2" width="66.7109375" bestFit="1" customWidth="1"/>
    <col min="3" max="3" width="14.28515625" bestFit="1" customWidth="1"/>
    <col min="4" max="4" width="16.42578125" bestFit="1" customWidth="1"/>
  </cols>
  <sheetData>
    <row r="1" spans="1:3" x14ac:dyDescent="0.25">
      <c r="A1" t="s">
        <v>74</v>
      </c>
    </row>
    <row r="5" spans="1:3" ht="15.75" thickBot="1" x14ac:dyDescent="0.3">
      <c r="B5" s="1" t="s">
        <v>75</v>
      </c>
      <c r="C5" s="14"/>
    </row>
    <row r="6" spans="1:3" x14ac:dyDescent="0.25">
      <c r="B6" s="49" t="str">
        <f>"coumpounding interest FV%= (1+r^n)-1,  r=growth rate, n=# yrs owned"</f>
        <v>coumpounding interest FV%= (1+r^n)-1,  r=growth rate, n=# yrs owned</v>
      </c>
      <c r="C6" s="50"/>
    </row>
    <row r="7" spans="1:3" ht="15.75" thickBot="1" x14ac:dyDescent="0.3">
      <c r="B7" s="80" t="s">
        <v>76</v>
      </c>
      <c r="C7" s="82"/>
    </row>
    <row r="8" spans="1:3" ht="15.75" thickBot="1" x14ac:dyDescent="0.3">
      <c r="B8" s="51" t="s">
        <v>77</v>
      </c>
      <c r="C8" s="71">
        <v>50</v>
      </c>
    </row>
    <row r="9" spans="1:3" ht="15.75" thickBot="1" x14ac:dyDescent="0.3">
      <c r="B9" s="51" t="s">
        <v>78</v>
      </c>
      <c r="C9" s="71">
        <v>1100</v>
      </c>
    </row>
    <row r="10" spans="1:3" ht="15.75" thickBot="1" x14ac:dyDescent="0.3">
      <c r="B10" s="51" t="s">
        <v>79</v>
      </c>
      <c r="C10" s="71">
        <v>13563</v>
      </c>
    </row>
    <row r="11" spans="1:3" ht="15.75" thickBot="1" x14ac:dyDescent="0.3">
      <c r="B11" s="51" t="s">
        <v>80</v>
      </c>
      <c r="C11" s="71">
        <v>19897</v>
      </c>
    </row>
    <row r="12" spans="1:3" ht="15.75" thickBot="1" x14ac:dyDescent="0.3">
      <c r="B12" s="51" t="s">
        <v>81</v>
      </c>
      <c r="C12" s="71">
        <v>33649</v>
      </c>
    </row>
    <row r="13" spans="1:3" ht="15.75" thickBot="1" x14ac:dyDescent="0.3">
      <c r="B13" s="56" t="s">
        <v>82</v>
      </c>
      <c r="C13" s="71">
        <v>500</v>
      </c>
    </row>
    <row r="14" spans="1:3" x14ac:dyDescent="0.25">
      <c r="B14" s="83" t="str">
        <f>"Net FV of Presently Invested After "&amp; C17 &amp;" yrs"</f>
        <v>Net FV of Presently Invested After 5 yrs</v>
      </c>
      <c r="C14" s="78"/>
    </row>
    <row r="15" spans="1:3" ht="15.75" thickBot="1" x14ac:dyDescent="0.3">
      <c r="B15" s="72" t="s">
        <v>83</v>
      </c>
      <c r="C15" s="78">
        <f>+SUM(C10:C13)</f>
        <v>67609</v>
      </c>
    </row>
    <row r="16" spans="1:3" ht="16.5" thickTop="1" thickBot="1" x14ac:dyDescent="0.3">
      <c r="B16" s="51" t="s">
        <v>61</v>
      </c>
      <c r="C16" s="84">
        <v>0.1</v>
      </c>
    </row>
    <row r="17" spans="2:4" ht="16.5" thickTop="1" thickBot="1" x14ac:dyDescent="0.3">
      <c r="B17" s="51" t="s">
        <v>84</v>
      </c>
      <c r="C17" s="85">
        <v>5</v>
      </c>
      <c r="D17" s="3"/>
    </row>
    <row r="18" spans="2:4" ht="15.75" thickTop="1" x14ac:dyDescent="0.25">
      <c r="B18" s="72" t="s">
        <v>85</v>
      </c>
      <c r="C18" s="74">
        <f>((1+C16)^C17)-1</f>
        <v>0.61051000000000055</v>
      </c>
      <c r="D18" s="3"/>
    </row>
    <row r="19" spans="2:4" x14ac:dyDescent="0.25">
      <c r="B19" s="72" t="s">
        <v>86</v>
      </c>
      <c r="C19" s="78">
        <f>+C18*C15</f>
        <v>41275.970590000041</v>
      </c>
      <c r="D19" s="3"/>
    </row>
    <row r="20" spans="2:4" x14ac:dyDescent="0.25">
      <c r="B20" s="73" t="s">
        <v>87</v>
      </c>
      <c r="C20" s="81">
        <f>+C19+C15</f>
        <v>108884.97059000004</v>
      </c>
      <c r="D20" s="3"/>
    </row>
    <row r="21" spans="2:4" ht="15.75" thickBot="1" x14ac:dyDescent="0.3">
      <c r="B21" s="59" t="str">
        <f>"Net FV of Annual Investments After "&amp; C17 &amp;" yrs"</f>
        <v>Net FV of Annual Investments After 5 yrs</v>
      </c>
      <c r="C21" s="75"/>
      <c r="D21" s="3"/>
    </row>
    <row r="22" spans="2:4" ht="15.75" thickBot="1" x14ac:dyDescent="0.3">
      <c r="B22" s="51" t="s">
        <v>58</v>
      </c>
      <c r="C22" s="76">
        <v>30000</v>
      </c>
      <c r="D22" s="3"/>
    </row>
    <row r="23" spans="2:4" x14ac:dyDescent="0.25">
      <c r="B23" s="51" t="s">
        <v>64</v>
      </c>
      <c r="C23" s="77">
        <f>FV(C16,C17,-C22,0,0)</f>
        <v>183153.00000000017</v>
      </c>
    </row>
    <row r="24" spans="2:4" ht="15.75" thickBot="1" x14ac:dyDescent="0.3">
      <c r="B24" s="62" t="s">
        <v>65</v>
      </c>
      <c r="C24" s="79">
        <f>C23+C20</f>
        <v>292037.97059000022</v>
      </c>
      <c r="D24" t="str">
        <f>"Gross After "&amp; C17 &amp;" yrs"</f>
        <v>Gross After 5 yrs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0AF3-C2DC-487E-8F50-F6D6914F5342}">
  <dimension ref="B2:C20"/>
  <sheetViews>
    <sheetView topLeftCell="A7" workbookViewId="0">
      <selection activeCell="C19" sqref="C19"/>
    </sheetView>
  </sheetViews>
  <sheetFormatPr defaultColWidth="8.85546875" defaultRowHeight="15" x14ac:dyDescent="0.25"/>
  <cols>
    <col min="2" max="2" width="29.7109375" bestFit="1" customWidth="1"/>
  </cols>
  <sheetData>
    <row r="2" spans="2:3" x14ac:dyDescent="0.25">
      <c r="B2" t="s">
        <v>88</v>
      </c>
    </row>
    <row r="3" spans="2:3" x14ac:dyDescent="0.25">
      <c r="B3" t="s">
        <v>89</v>
      </c>
    </row>
    <row r="4" spans="2:3" x14ac:dyDescent="0.25">
      <c r="B4" t="s">
        <v>90</v>
      </c>
    </row>
    <row r="5" spans="2:3" x14ac:dyDescent="0.25">
      <c r="B5" t="s">
        <v>91</v>
      </c>
    </row>
    <row r="6" spans="2:3" x14ac:dyDescent="0.25">
      <c r="B6" t="s">
        <v>92</v>
      </c>
    </row>
    <row r="7" spans="2:3" x14ac:dyDescent="0.25">
      <c r="B7" t="s">
        <v>93</v>
      </c>
    </row>
    <row r="8" spans="2:3" x14ac:dyDescent="0.25">
      <c r="B8" t="s">
        <v>94</v>
      </c>
    </row>
    <row r="9" spans="2:3" x14ac:dyDescent="0.25">
      <c r="B9" t="s">
        <v>95</v>
      </c>
    </row>
    <row r="10" spans="2:3" x14ac:dyDescent="0.25">
      <c r="B10" t="s">
        <v>96</v>
      </c>
    </row>
    <row r="11" spans="2:3" x14ac:dyDescent="0.25">
      <c r="B11" t="s">
        <v>97</v>
      </c>
    </row>
    <row r="12" spans="2:3" x14ac:dyDescent="0.25">
      <c r="B12" t="s">
        <v>98</v>
      </c>
    </row>
    <row r="15" spans="2:3" x14ac:dyDescent="0.25">
      <c r="B15" t="s">
        <v>99</v>
      </c>
      <c r="C15" t="s">
        <v>100</v>
      </c>
    </row>
    <row r="16" spans="2:3" x14ac:dyDescent="0.25">
      <c r="B16" t="s">
        <v>101</v>
      </c>
    </row>
    <row r="17" spans="2:3" x14ac:dyDescent="0.25">
      <c r="B17" t="s">
        <v>102</v>
      </c>
    </row>
    <row r="18" spans="2:3" x14ac:dyDescent="0.25">
      <c r="B18" t="s">
        <v>103</v>
      </c>
      <c r="C18" t="s">
        <v>104</v>
      </c>
    </row>
    <row r="19" spans="2:3" x14ac:dyDescent="0.25">
      <c r="B19" t="s">
        <v>105</v>
      </c>
    </row>
    <row r="20" spans="2:3" x14ac:dyDescent="0.25">
      <c r="B2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841C-83F8-4691-872E-FC6925354C9F}">
  <dimension ref="A1:P25"/>
  <sheetViews>
    <sheetView topLeftCell="A2" workbookViewId="0">
      <selection activeCell="I35" sqref="I35"/>
    </sheetView>
  </sheetViews>
  <sheetFormatPr defaultColWidth="8.85546875" defaultRowHeight="15" x14ac:dyDescent="0.25"/>
  <cols>
    <col min="11" max="11" width="12.42578125" bestFit="1" customWidth="1"/>
  </cols>
  <sheetData>
    <row r="1" spans="1:11" x14ac:dyDescent="0.25">
      <c r="A1" s="1" t="s">
        <v>107</v>
      </c>
    </row>
    <row r="2" spans="1:11" x14ac:dyDescent="0.25">
      <c r="B2" t="s">
        <v>108</v>
      </c>
    </row>
    <row r="3" spans="1:11" x14ac:dyDescent="0.25">
      <c r="B3" t="s">
        <v>109</v>
      </c>
    </row>
    <row r="4" spans="1:11" x14ac:dyDescent="0.25">
      <c r="B4" t="s">
        <v>110</v>
      </c>
    </row>
    <row r="16" spans="1:11" x14ac:dyDescent="0.25">
      <c r="K16" s="13"/>
    </row>
    <row r="17" spans="9:16" x14ac:dyDescent="0.25">
      <c r="K17" s="13"/>
    </row>
    <row r="18" spans="9:16" x14ac:dyDescent="0.25">
      <c r="K18" s="13">
        <v>249401</v>
      </c>
    </row>
    <row r="19" spans="9:16" x14ac:dyDescent="0.25">
      <c r="K19" s="13">
        <v>300000</v>
      </c>
      <c r="L19" s="10">
        <f>+K18/K19</f>
        <v>0.83133666666666661</v>
      </c>
      <c r="P19">
        <f>300000/320000</f>
        <v>0.9375</v>
      </c>
    </row>
    <row r="20" spans="9:16" x14ac:dyDescent="0.25">
      <c r="I20">
        <v>86</v>
      </c>
      <c r="K20" s="13">
        <f>+K19-K18</f>
        <v>50599</v>
      </c>
      <c r="P20" s="10">
        <f>1-P19</f>
        <v>6.25E-2</v>
      </c>
    </row>
    <row r="21" spans="9:16" x14ac:dyDescent="0.25">
      <c r="I21">
        <f>+I20/12</f>
        <v>7.166666666666667</v>
      </c>
      <c r="K21" s="13">
        <f>+K20/K19</f>
        <v>0.16866333333333333</v>
      </c>
    </row>
    <row r="22" spans="9:16" x14ac:dyDescent="0.25">
      <c r="K22" s="13"/>
    </row>
    <row r="23" spans="9:16" x14ac:dyDescent="0.25">
      <c r="K23" s="13"/>
    </row>
    <row r="24" spans="9:16" x14ac:dyDescent="0.25">
      <c r="K24" s="13"/>
    </row>
    <row r="25" spans="9:16" x14ac:dyDescent="0.25">
      <c r="K2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624C-F3ED-4C2B-9510-A4AB03708EA5}">
  <dimension ref="B2"/>
  <sheetViews>
    <sheetView workbookViewId="0">
      <selection activeCell="B3" sqref="B3"/>
    </sheetView>
  </sheetViews>
  <sheetFormatPr defaultColWidth="8.85546875" defaultRowHeight="15" x14ac:dyDescent="0.25"/>
  <cols>
    <col min="2" max="2" width="47.85546875" bestFit="1" customWidth="1"/>
  </cols>
  <sheetData>
    <row r="2" spans="2:2" x14ac:dyDescent="0.25">
      <c r="B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6951BD696C54B9D26FA1D4DEE71F5" ma:contentTypeVersion="11" ma:contentTypeDescription="Create a new document." ma:contentTypeScope="" ma:versionID="678a5b5e42766b7e471c8b55adadd4c1">
  <xsd:schema xmlns:xsd="http://www.w3.org/2001/XMLSchema" xmlns:xs="http://www.w3.org/2001/XMLSchema" xmlns:p="http://schemas.microsoft.com/office/2006/metadata/properties" xmlns:ns3="6f197fa7-808a-43fa-9083-0dd29445354d" xmlns:ns4="4f51537c-9c27-4fd2-88a5-a92d19d67a14" targetNamespace="http://schemas.microsoft.com/office/2006/metadata/properties" ma:root="true" ma:fieldsID="3a52026ef668e988b4b439631f9293bb" ns3:_="" ns4:_="">
    <xsd:import namespace="6f197fa7-808a-43fa-9083-0dd29445354d"/>
    <xsd:import namespace="4f51537c-9c27-4fd2-88a5-a92d19d67a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97fa7-808a-43fa-9083-0dd294453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1537c-9c27-4fd2-88a5-a92d19d67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0B2C8-FC7D-4DC4-88B2-F53060690D7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f197fa7-808a-43fa-9083-0dd29445354d"/>
    <ds:schemaRef ds:uri="4f51537c-9c27-4fd2-88a5-a92d19d67a1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72D63-B912-46EF-A31E-248EC9ED0A46}">
  <ds:schemaRefs>
    <ds:schemaRef ds:uri="http://purl.org/dc/terms/"/>
    <ds:schemaRef ds:uri="http://purl.org/dc/dcmitype/"/>
    <ds:schemaRef ds:uri="http://purl.org/dc/elements/1.1/"/>
    <ds:schemaRef ds:uri="6f197fa7-808a-43fa-9083-0dd29445354d"/>
    <ds:schemaRef ds:uri="http://www.w3.org/XML/1998/namespace"/>
    <ds:schemaRef ds:uri="http://schemas.microsoft.com/office/2006/documentManagement/types"/>
    <ds:schemaRef ds:uri="4f51537c-9c27-4fd2-88a5-a92d19d67a14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EE28BD4-B9A7-4FE9-8EDA-9F1547089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Complex Model</vt:lpstr>
      <vt:lpstr>Complex Model (2)</vt:lpstr>
      <vt:lpstr>Sheet2</vt:lpstr>
      <vt:lpstr>Investment Calculations</vt:lpstr>
      <vt:lpstr>Questions</vt:lpstr>
      <vt:lpstr>Inspection</vt:lpstr>
      <vt:lpstr>Ideas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schua_000</dc:creator>
  <cp:keywords/>
  <dc:description/>
  <cp:lastModifiedBy>jordan clayton</cp:lastModifiedBy>
  <cp:revision/>
  <dcterms:created xsi:type="dcterms:W3CDTF">2016-05-01T02:20:13Z</dcterms:created>
  <dcterms:modified xsi:type="dcterms:W3CDTF">2023-04-18T14:55:06Z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0x0101001CD6951BD696C54B9D26FA1D4DEE71F5</vt:lpwstr>
  </property>
</Properties>
</file>