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3.2_transferred\"/>
    </mc:Choice>
  </mc:AlternateContent>
  <xr:revisionPtr revIDLastSave="0" documentId="8_{2D37E859-BD1D-4974-B769-B4FAC40CD0E5}" xr6:coauthVersionLast="47" xr6:coauthVersionMax="47" xr10:uidLastSave="{00000000-0000-0000-0000-000000000000}"/>
  <workbookProtection lockStructure="1"/>
  <bookViews>
    <workbookView xWindow="2340" yWindow="2340" windowWidth="21600" windowHeight="11295" tabRatio="897" activeTab="21"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B79" i="24" l="1"/>
  <c r="A79" i="24"/>
  <c r="D22" i="15" l="1"/>
  <c r="G22" i="15" l="1"/>
  <c r="D60" i="27" l="1"/>
  <c r="D32" i="27"/>
  <c r="D31" i="27"/>
  <c r="D30" i="27"/>
  <c r="D16" i="24"/>
  <c r="D24" i="49"/>
  <c r="D45" i="21"/>
  <c r="D32" i="18"/>
  <c r="D104" i="9" l="1"/>
  <c r="G104" i="9" s="1"/>
  <c r="C104" i="9"/>
  <c r="B104" i="9"/>
  <c r="A104" i="9"/>
  <c r="D110" i="10"/>
  <c r="G110" i="10" s="1"/>
  <c r="C162" i="21" l="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D58" i="21" l="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D79" i="24" l="1"/>
  <c r="G79" i="24" s="1"/>
  <c r="D162" i="21"/>
  <c r="G162" i="21" s="1"/>
  <c r="D176" i="20"/>
  <c r="D111" i="49"/>
  <c r="G111" i="49" s="1"/>
  <c r="D134" i="19"/>
  <c r="G176" i="20"/>
  <c r="G80" i="22"/>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G77" i="8" s="1"/>
  <c r="C82" i="8"/>
  <c r="C81" i="8"/>
  <c r="C80" i="8"/>
  <c r="C79" i="8"/>
  <c r="C78" i="8"/>
  <c r="C77" i="8"/>
  <c r="A77" i="8"/>
  <c r="B77" i="8"/>
  <c r="D96" i="31"/>
  <c r="G96" i="31" s="1"/>
  <c r="D88" i="8"/>
  <c r="G88" i="8" s="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G56" i="23" s="1"/>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81" i="15" l="1"/>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F32" i="5" s="1"/>
  <c r="D18" i="5"/>
  <c r="F8" i="5"/>
  <c r="F31" i="5" s="1"/>
  <c r="G107" i="17"/>
  <c r="G19" i="5" s="1"/>
  <c r="C31" i="5" l="1"/>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23" i="5" s="1"/>
  <c r="D147" i="15"/>
  <c r="G147" i="15" s="1"/>
  <c r="G20" i="5"/>
  <c r="D149" i="15"/>
  <c r="G149" i="15" s="1"/>
  <c r="G22" i="5"/>
  <c r="G203" i="18"/>
  <c r="G21" i="5"/>
  <c r="D199" i="23"/>
  <c r="G199" i="23" s="1"/>
  <c r="G26" i="5"/>
  <c r="D150" i="15"/>
  <c r="G150" i="15" s="1"/>
  <c r="G204" i="18"/>
  <c r="G214" i="18" s="1"/>
  <c r="D200" i="23"/>
  <c r="G200" i="23" s="1"/>
  <c r="G207" i="23" s="1"/>
  <c r="D100" i="17"/>
  <c r="G100" i="17" s="1"/>
  <c r="G108" i="17" s="1"/>
  <c r="D71" i="27"/>
  <c r="G71" i="27" s="1"/>
  <c r="G75" i="27" s="1"/>
  <c r="G77" i="27" s="1"/>
  <c r="G126" i="16"/>
  <c r="G133" i="16" s="1"/>
  <c r="D148" i="15"/>
  <c r="G148" i="15" s="1"/>
  <c r="G144" i="15"/>
  <c r="C16" i="5"/>
  <c r="D144" i="15"/>
  <c r="H29" i="5"/>
  <c r="F29" i="5" s="1"/>
  <c r="G157" i="15" l="1"/>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F34" i="5" s="1"/>
  <c r="E20" i="5"/>
  <c r="F20" i="5" s="1"/>
  <c r="E19" i="5"/>
  <c r="F19" i="5" s="1"/>
  <c r="E22" i="5"/>
  <c r="F22" i="5" s="1"/>
  <c r="F25" i="5"/>
  <c r="F35" i="5" s="1"/>
  <c r="D26" i="5"/>
  <c r="C35" i="5"/>
  <c r="D20" i="5"/>
  <c r="D34" i="5" s="1"/>
  <c r="E34" i="5" s="1"/>
  <c r="C34" i="5"/>
  <c r="F17" i="5"/>
  <c r="F33" i="5" s="1"/>
  <c r="C57" i="5"/>
  <c r="D35" i="5" l="1"/>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<sst xmlns="http://schemas.openxmlformats.org/spreadsheetml/2006/main" count="153411" uniqueCount="9171">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</sst>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0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77" xfId="0" applyFont="1" applyBorder="1" applyAlignment="1">
      <alignment vertical="top" wrapText="1"/>
    </xf>
    <xf numFmtId="0" fontId="73" fillId="0" borderId="70" xfId="0" applyFont="1" applyBorder="1" applyAlignment="1">
      <alignment horizontal="left" vertical="top" wrapText="1"/>
    </xf>
    <xf numFmtId="0" fontId="73" fillId="0" borderId="66" xfId="0" applyFont="1" applyBorder="1" applyAlignment="1">
      <alignment horizontal="left" vertical="top" wrapText="1"/>
    </xf>
    <xf numFmtId="0" fontId="73" fillId="0" borderId="22" xfId="0" applyFont="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45" fillId="0" borderId="55" xfId="1" applyFont="1" applyBorder="1" applyAlignment="1">
      <alignment vertical="center" wrapText="1"/>
    </xf>
    <xf numFmtId="0" fontId="38" fillId="0" borderId="55" xfId="0" applyFont="1" applyBorder="1" applyAlignment="1">
      <alignment vertical="center" wrapText="1"/>
    </xf>
    <xf numFmtId="49" fontId="93" fillId="0" borderId="15" xfId="1" applyNumberFormat="1" applyFont="1" applyBorder="1" applyAlignment="1">
      <alignment horizontal="left" vertical="center" wrapText="1"/>
    </xf>
    <xf numFmtId="2" fontId="94" fillId="0" borderId="10"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38" fillId="0" borderId="25" xfId="1" applyFont="1" applyBorder="1" applyAlignment="1">
      <alignment vertical="center" wrapText="1"/>
    </xf>
    <xf numFmtId="0" fontId="38" fillId="0" borderId="65" xfId="0" applyFont="1" applyBorder="1" applyAlignment="1">
      <alignment vertical="center" wrapText="1"/>
    </xf>
    <xf numFmtId="49" fontId="94" fillId="0" borderId="26" xfId="1" applyNumberFormat="1" applyFont="1" applyBorder="1" applyAlignment="1">
      <alignment horizontal="righ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20" xfId="1" applyFont="1" applyBorder="1" applyAlignment="1">
      <alignment vertical="center" wrapText="1"/>
    </xf>
    <xf numFmtId="0" fontId="38" fillId="0" borderId="38" xfId="0" applyFont="1" applyBorder="1" applyAlignment="1">
      <alignment vertical="center" wrapText="1"/>
    </xf>
    <xf numFmtId="0" fontId="38" fillId="0" borderId="55" xfId="1"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57" fillId="0" borderId="1" xfId="0" applyFont="1" applyBorder="1" applyAlignment="1">
      <alignment horizontal="center"/>
    </xf>
    <xf numFmtId="0" fontId="109" fillId="14" borderId="1" xfId="0" applyFont="1" applyFill="1" applyBorder="1" applyAlignment="1">
      <alignment horizontal="center"/>
    </xf>
    <xf numFmtId="0" fontId="108" fillId="14" borderId="3" xfId="0" applyFont="1" applyFill="1" applyBorder="1" applyAlignment="1"/>
    <xf numFmtId="0" fontId="108" fillId="14" borderId="4" xfId="0" applyFont="1" applyFill="1" applyBorder="1" applyAlignment="1"/>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51" xfId="0" applyFont="1" applyFill="1" applyBorder="1" applyAlignment="1">
      <alignment horizontal="center"/>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38" borderId="22"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15" borderId="70" xfId="0"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74" xfId="0" applyFont="1" applyBorder="1" applyAlignment="1">
      <alignment horizontal="left" vertical="top" wrapText="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18"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43" fillId="0" borderId="48" xfId="0" applyFont="1" applyBorder="1" applyAlignment="1">
      <alignment horizontal="left" vertical="top"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73"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0" borderId="60" xfId="1" applyFont="1" applyBorder="1" applyAlignment="1">
      <alignment horizontal="left" vertical="top" wrapText="1"/>
    </xf>
    <xf numFmtId="0" fontId="7" fillId="0" borderId="44" xfId="1" applyFont="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0" fontId="77" fillId="11" borderId="10" xfId="1" applyFont="1" applyFill="1" applyBorder="1" applyAlignment="1">
      <alignment horizontal="left" vertical="top" wrapText="1"/>
    </xf>
    <xf numFmtId="0" fontId="7" fillId="15" borderId="7"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0" fontId="7" fillId="15" borderId="70" xfId="0" applyFont="1" applyFill="1" applyBorder="1" applyAlignment="1">
      <alignment vertical="top" wrapText="1"/>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15" borderId="13"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0" fontId="35" fillId="38" borderId="66" xfId="0"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1" fontId="7" fillId="0" borderId="10" xfId="0" applyNumberFormat="1" applyFont="1" applyBorder="1" applyAlignment="1">
      <alignment horizontal="center" vertical="center" wrapText="1"/>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7" fillId="0" borderId="30"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73" xfId="1" applyFont="1" applyBorder="1" applyAlignment="1">
      <alignment vertical="top" wrapText="1"/>
    </xf>
    <xf numFmtId="0" fontId="10" fillId="0" borderId="71" xfId="1" applyBorder="1">
      <alignment vertical="top"/>
    </xf>
    <xf numFmtId="0" fontId="116" fillId="0" borderId="48" xfId="1" applyFont="1" applyBorder="1" applyAlignment="1">
      <alignment vertical="top" wrapText="1"/>
    </xf>
    <xf numFmtId="0" fontId="116" fillId="0" borderId="44" xfId="1" applyFont="1" applyBorder="1" applyAlignment="1">
      <alignment vertical="top" wrapText="1"/>
    </xf>
    <xf numFmtId="0" fontId="116" fillId="0" borderId="23" xfId="1" applyFont="1" applyBorder="1" applyAlignment="1">
      <alignment horizontal="left" vertical="top" wrapText="1"/>
    </xf>
    <xf numFmtId="0" fontId="116" fillId="0" borderId="48" xfId="1" applyFont="1" applyBorder="1">
      <alignment vertical="top"/>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15" borderId="66" xfId="1" applyFont="1" applyFill="1" applyBorder="1" applyAlignment="1">
      <alignment horizontal="left" vertical="top"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15" borderId="70"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7" fillId="15" borderId="0" xfId="0" applyFont="1" applyFill="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8350</v>
      </c>
    </row>
    <row r="2" spans="1:1" x14ac:dyDescent="0.2">
      <c r="A2" s="2108"/>
    </row>
    <row r="3" spans="1:1" ht="13.5" thickBot="1" x14ac:dyDescent="0.25">
      <c r="A3" s="2109"/>
    </row>
    <row r="4" spans="1:1" x14ac:dyDescent="0.2">
      <c r="A4" s="2110" t="s">
        <v>9114</v>
      </c>
    </row>
    <row r="5" spans="1:1" ht="134.25" customHeight="1" x14ac:dyDescent="0.2">
      <c r="A5" s="2111"/>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98" workbookViewId="0">
      <selection activeCell="C113" sqref="C113"/>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12" t="s">
        <v>8352</v>
      </c>
      <c r="B1" s="2113"/>
      <c r="C1" s="2114"/>
      <c r="D1" s="1245"/>
    </row>
    <row r="2" spans="1:6" ht="80.25" customHeight="1" thickBot="1" x14ac:dyDescent="0.25">
      <c r="A2" s="2115" t="s">
        <v>8996</v>
      </c>
      <c r="B2" s="2116"/>
      <c r="C2" s="2117"/>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t="s">
        <v>58</v>
      </c>
      <c r="E4" s="1960" t="s">
        <v>59</v>
      </c>
      <c r="F4" s="1966"/>
    </row>
    <row r="5" spans="1:6" s="1964" customFormat="1" ht="26.25" thickBot="1" x14ac:dyDescent="0.25">
      <c r="A5" s="2118" t="s">
        <v>60</v>
      </c>
      <c r="B5" s="2121" t="s">
        <v>61</v>
      </c>
      <c r="C5" s="542" t="s">
        <v>62</v>
      </c>
      <c r="D5" s="1018"/>
      <c r="E5" s="1958"/>
      <c r="F5" s="1967"/>
    </row>
    <row r="6" spans="1:6" s="1964" customFormat="1" ht="15.75" x14ac:dyDescent="0.2">
      <c r="A6" s="2119"/>
      <c r="B6" s="2122"/>
      <c r="C6" s="1008" t="s">
        <v>63</v>
      </c>
      <c r="D6" s="1019">
        <v>0</v>
      </c>
      <c r="E6" s="1961"/>
      <c r="F6" s="1967"/>
    </row>
    <row r="7" spans="1:6" s="1964" customFormat="1" ht="15.75" x14ac:dyDescent="0.2">
      <c r="A7" s="2119"/>
      <c r="B7" s="2122"/>
      <c r="C7" s="1009" t="s">
        <v>64</v>
      </c>
      <c r="D7" s="1019">
        <v>0</v>
      </c>
      <c r="E7" s="1961"/>
      <c r="F7" s="1967"/>
    </row>
    <row r="8" spans="1:6" s="1964" customFormat="1" ht="15.75" x14ac:dyDescent="0.2">
      <c r="A8" s="2119"/>
      <c r="B8" s="2122"/>
      <c r="C8" s="1009" t="s">
        <v>65</v>
      </c>
      <c r="D8" s="1019">
        <v>0</v>
      </c>
      <c r="E8" s="1961"/>
      <c r="F8" s="1967"/>
    </row>
    <row r="9" spans="1:6" s="1964" customFormat="1" ht="16.5" thickBot="1" x14ac:dyDescent="0.25">
      <c r="A9" s="2120"/>
      <c r="B9" s="2123"/>
      <c r="C9" s="1010" t="s">
        <v>66</v>
      </c>
      <c r="D9" s="1019">
        <v>0</v>
      </c>
      <c r="E9" s="1961"/>
      <c r="F9" s="1967"/>
    </row>
    <row r="10" spans="1:6" s="1965" customFormat="1" ht="26.25" thickBot="1" x14ac:dyDescent="0.25">
      <c r="A10" s="2118" t="s">
        <v>67</v>
      </c>
      <c r="B10" s="2121" t="s">
        <v>68</v>
      </c>
      <c r="C10" s="983" t="s">
        <v>9069</v>
      </c>
      <c r="D10" s="1018"/>
      <c r="E10" s="1961"/>
      <c r="F10" s="1968"/>
    </row>
    <row r="11" spans="1:6" s="1965" customFormat="1" ht="15.75" x14ac:dyDescent="0.2">
      <c r="A11" s="2119"/>
      <c r="B11" s="2122"/>
      <c r="C11" s="1011" t="s">
        <v>69</v>
      </c>
      <c r="D11" s="1020">
        <v>0</v>
      </c>
      <c r="E11" s="1958"/>
      <c r="F11" s="1968"/>
    </row>
    <row r="12" spans="1:6" s="1965" customFormat="1" ht="15.75" x14ac:dyDescent="0.2">
      <c r="A12" s="2119"/>
      <c r="B12" s="2122"/>
      <c r="C12" s="1012" t="s">
        <v>70</v>
      </c>
      <c r="D12" s="1020">
        <v>0</v>
      </c>
      <c r="E12" s="1958"/>
      <c r="F12" s="1968"/>
    </row>
    <row r="13" spans="1:6" s="1965" customFormat="1" ht="15.75" x14ac:dyDescent="0.2">
      <c r="A13" s="2119"/>
      <c r="B13" s="2122"/>
      <c r="C13" s="1012" t="s">
        <v>71</v>
      </c>
      <c r="D13" s="1020">
        <v>0</v>
      </c>
      <c r="E13" s="1958"/>
      <c r="F13" s="1968"/>
    </row>
    <row r="14" spans="1:6" s="1965" customFormat="1" ht="15.75" x14ac:dyDescent="0.2">
      <c r="A14" s="2119"/>
      <c r="B14" s="2122"/>
      <c r="C14" s="1013" t="s">
        <v>72</v>
      </c>
      <c r="D14" s="1020">
        <v>0</v>
      </c>
      <c r="E14" s="1958"/>
      <c r="F14" s="1968"/>
    </row>
    <row r="15" spans="1:6" s="1965" customFormat="1" ht="15.75" x14ac:dyDescent="0.2">
      <c r="A15" s="2119"/>
      <c r="B15" s="2122"/>
      <c r="C15" s="1013" t="s">
        <v>73</v>
      </c>
      <c r="D15" s="1020">
        <v>0</v>
      </c>
      <c r="E15" s="1958"/>
      <c r="F15" s="1968"/>
    </row>
    <row r="16" spans="1:6" s="1965" customFormat="1" ht="16.5" thickBot="1" x14ac:dyDescent="0.25">
      <c r="A16" s="2119"/>
      <c r="B16" s="2122"/>
      <c r="C16" s="1014" t="s">
        <v>74</v>
      </c>
      <c r="D16" s="1021">
        <v>0</v>
      </c>
      <c r="E16" s="1958"/>
      <c r="F16" s="1968"/>
    </row>
    <row r="17" spans="1:6" s="1965" customFormat="1" ht="64.5" thickBot="1" x14ac:dyDescent="0.25">
      <c r="A17" s="2120"/>
      <c r="B17" s="2123"/>
      <c r="C17" s="1015" t="s">
        <v>75</v>
      </c>
      <c r="D17" s="1018"/>
      <c r="E17" s="1958"/>
      <c r="F17" s="1968"/>
    </row>
    <row r="18" spans="1:6" s="1965" customFormat="1" ht="26.25" thickBot="1" x14ac:dyDescent="0.25">
      <c r="A18" s="2119" t="s">
        <v>76</v>
      </c>
      <c r="B18" s="2122" t="s">
        <v>77</v>
      </c>
      <c r="C18" s="983" t="s">
        <v>8686</v>
      </c>
      <c r="D18" s="1018"/>
      <c r="E18" s="1958"/>
      <c r="F18" s="1968"/>
    </row>
    <row r="19" spans="1:6" s="1965" customFormat="1" ht="15.75" x14ac:dyDescent="0.2">
      <c r="A19" s="2119"/>
      <c r="B19" s="2122"/>
      <c r="C19" s="537" t="s">
        <v>69</v>
      </c>
      <c r="D19" s="1020">
        <v>0</v>
      </c>
      <c r="E19" s="1958"/>
      <c r="F19" s="1968"/>
    </row>
    <row r="20" spans="1:6" s="1965" customFormat="1" ht="15.75" x14ac:dyDescent="0.2">
      <c r="A20" s="2119"/>
      <c r="B20" s="2122"/>
      <c r="C20" s="538" t="s">
        <v>70</v>
      </c>
      <c r="D20" s="1020">
        <v>0</v>
      </c>
      <c r="E20" s="1958"/>
      <c r="F20" s="1968"/>
    </row>
    <row r="21" spans="1:6" s="1965" customFormat="1" ht="15.75" x14ac:dyDescent="0.2">
      <c r="A21" s="2119"/>
      <c r="B21" s="2122"/>
      <c r="C21" s="538" t="s">
        <v>71</v>
      </c>
      <c r="D21" s="1020">
        <v>0</v>
      </c>
      <c r="E21" s="1958"/>
      <c r="F21" s="1968"/>
    </row>
    <row r="22" spans="1:6" s="1965" customFormat="1" ht="15.75" x14ac:dyDescent="0.2">
      <c r="A22" s="2119"/>
      <c r="B22" s="2122"/>
      <c r="C22" s="539" t="s">
        <v>72</v>
      </c>
      <c r="D22" s="1020">
        <v>0</v>
      </c>
      <c r="E22" s="1958"/>
      <c r="F22" s="1968"/>
    </row>
    <row r="23" spans="1:6" s="1965" customFormat="1" ht="15.75" x14ac:dyDescent="0.2">
      <c r="A23" s="2119"/>
      <c r="B23" s="2122"/>
      <c r="C23" s="539" t="s">
        <v>73</v>
      </c>
      <c r="D23" s="1020">
        <v>0</v>
      </c>
      <c r="E23" s="1958"/>
      <c r="F23" s="1968"/>
    </row>
    <row r="24" spans="1:6" s="1965" customFormat="1" ht="16.5" thickBot="1" x14ac:dyDescent="0.25">
      <c r="A24" s="2120"/>
      <c r="B24" s="2123"/>
      <c r="C24" s="540" t="s">
        <v>74</v>
      </c>
      <c r="D24" s="1022">
        <v>0</v>
      </c>
      <c r="E24" s="1958"/>
      <c r="F24" s="1968"/>
    </row>
    <row r="25" spans="1:6" ht="26.25" thickBot="1" x14ac:dyDescent="0.25">
      <c r="A25" s="2118" t="s">
        <v>78</v>
      </c>
      <c r="B25" s="2121" t="s">
        <v>8694</v>
      </c>
      <c r="C25" s="536" t="s">
        <v>8346</v>
      </c>
      <c r="D25" s="1018"/>
      <c r="E25" s="1958"/>
      <c r="F25" s="1959"/>
    </row>
    <row r="26" spans="1:6" ht="15.75" x14ac:dyDescent="0.2">
      <c r="A26" s="2119"/>
      <c r="B26" s="2122"/>
      <c r="C26" s="537" t="s">
        <v>69</v>
      </c>
      <c r="D26" s="1020">
        <v>0</v>
      </c>
      <c r="E26" s="1958"/>
      <c r="F26" s="1959"/>
    </row>
    <row r="27" spans="1:6" ht="15.75" x14ac:dyDescent="0.2">
      <c r="A27" s="2119"/>
      <c r="B27" s="2122"/>
      <c r="C27" s="538" t="s">
        <v>70</v>
      </c>
      <c r="D27" s="1020">
        <v>0</v>
      </c>
      <c r="E27" s="1958"/>
      <c r="F27" s="1959"/>
    </row>
    <row r="28" spans="1:6" ht="15.75" x14ac:dyDescent="0.2">
      <c r="A28" s="2119"/>
      <c r="B28" s="2122"/>
      <c r="C28" s="538" t="s">
        <v>71</v>
      </c>
      <c r="D28" s="1020">
        <v>0</v>
      </c>
      <c r="E28" s="1958"/>
      <c r="F28" s="1959"/>
    </row>
    <row r="29" spans="1:6" ht="15.75" x14ac:dyDescent="0.2">
      <c r="A29" s="2119"/>
      <c r="B29" s="2122"/>
      <c r="C29" s="539" t="s">
        <v>72</v>
      </c>
      <c r="D29" s="1020">
        <v>0</v>
      </c>
      <c r="E29" s="1958"/>
      <c r="F29" s="1959"/>
    </row>
    <row r="30" spans="1:6" ht="15.75" x14ac:dyDescent="0.2">
      <c r="A30" s="2119"/>
      <c r="B30" s="2122"/>
      <c r="C30" s="539" t="s">
        <v>73</v>
      </c>
      <c r="D30" s="1020">
        <v>0</v>
      </c>
      <c r="E30" s="1958"/>
      <c r="F30" s="1959"/>
    </row>
    <row r="31" spans="1:6" ht="15.75" x14ac:dyDescent="0.2">
      <c r="A31" s="2119"/>
      <c r="B31" s="2122"/>
      <c r="C31" s="541" t="s">
        <v>79</v>
      </c>
      <c r="D31" s="1020">
        <v>0</v>
      </c>
      <c r="E31" s="1958"/>
      <c r="F31" s="1959"/>
    </row>
    <row r="32" spans="1:6" ht="16.5" thickBot="1" x14ac:dyDescent="0.25">
      <c r="A32" s="2120"/>
      <c r="B32" s="2123"/>
      <c r="C32" s="540" t="s">
        <v>80</v>
      </c>
      <c r="D32" s="1021">
        <v>0</v>
      </c>
      <c r="E32" s="1958"/>
      <c r="F32" s="1959"/>
    </row>
    <row r="33" spans="1:6" ht="26.25" thickBot="1" x14ac:dyDescent="0.25">
      <c r="A33" s="2118" t="s">
        <v>81</v>
      </c>
      <c r="B33" s="2121" t="s">
        <v>82</v>
      </c>
      <c r="C33" s="542" t="s">
        <v>83</v>
      </c>
      <c r="D33" s="1018"/>
      <c r="E33" s="1958"/>
      <c r="F33" s="1959"/>
    </row>
    <row r="34" spans="1:6" ht="38.25" x14ac:dyDescent="0.2">
      <c r="A34" s="2119"/>
      <c r="B34" s="2122"/>
      <c r="C34" s="1016" t="s">
        <v>84</v>
      </c>
      <c r="D34" s="1020">
        <v>0</v>
      </c>
      <c r="E34" s="1958"/>
      <c r="F34" s="1959"/>
    </row>
    <row r="35" spans="1:6" ht="25.5" x14ac:dyDescent="0.2">
      <c r="A35" s="2119"/>
      <c r="B35" s="2122"/>
      <c r="C35" s="1009" t="s">
        <v>85</v>
      </c>
      <c r="D35" s="1020">
        <v>0</v>
      </c>
      <c r="E35" s="1958"/>
      <c r="F35" s="1959"/>
    </row>
    <row r="36" spans="1:6" ht="15.75" x14ac:dyDescent="0.2">
      <c r="A36" s="2119"/>
      <c r="B36" s="2122"/>
      <c r="C36" s="1009" t="s">
        <v>86</v>
      </c>
      <c r="D36" s="1020">
        <v>0</v>
      </c>
      <c r="E36" s="1958"/>
      <c r="F36" s="1959"/>
    </row>
    <row r="37" spans="1:6" ht="15.75" x14ac:dyDescent="0.2">
      <c r="A37" s="2119"/>
      <c r="B37" s="2122"/>
      <c r="C37" s="1009" t="s">
        <v>87</v>
      </c>
      <c r="D37" s="1020">
        <v>0</v>
      </c>
      <c r="E37" s="1958"/>
      <c r="F37" s="1959"/>
    </row>
    <row r="38" spans="1:6" ht="15.75" x14ac:dyDescent="0.2">
      <c r="A38" s="2119"/>
      <c r="B38" s="2122"/>
      <c r="C38" s="1009" t="s">
        <v>88</v>
      </c>
      <c r="D38" s="1020">
        <v>0</v>
      </c>
      <c r="E38" s="1958"/>
      <c r="F38" s="1959"/>
    </row>
    <row r="39" spans="1:6" ht="15.75" x14ac:dyDescent="0.2">
      <c r="A39" s="2119"/>
      <c r="B39" s="2122"/>
      <c r="C39" s="1009" t="s">
        <v>89</v>
      </c>
      <c r="D39" s="1020">
        <v>0</v>
      </c>
      <c r="E39" s="1958"/>
      <c r="F39" s="1959"/>
    </row>
    <row r="40" spans="1:6" ht="16.5" thickBot="1" x14ac:dyDescent="0.25">
      <c r="A40" s="2119"/>
      <c r="B40" s="2122"/>
      <c r="C40" s="1010" t="s">
        <v>90</v>
      </c>
      <c r="D40" s="1022">
        <v>0</v>
      </c>
      <c r="E40" s="1958"/>
      <c r="F40" s="1959"/>
    </row>
    <row r="41" spans="1:6" ht="26.25" thickBot="1" x14ac:dyDescent="0.25">
      <c r="A41" s="2120"/>
      <c r="B41" s="2123"/>
      <c r="C41" s="983" t="s">
        <v>91</v>
      </c>
      <c r="D41" s="1018"/>
      <c r="E41" s="1958"/>
      <c r="F41" s="1959"/>
    </row>
    <row r="42" spans="1:6" s="1965" customFormat="1" ht="80.25" customHeight="1" thickBot="1" x14ac:dyDescent="0.25">
      <c r="A42" s="2118" t="s">
        <v>92</v>
      </c>
      <c r="B42" s="2126" t="s">
        <v>93</v>
      </c>
      <c r="C42" s="529" t="s">
        <v>9162</v>
      </c>
      <c r="D42" s="1023">
        <v>0</v>
      </c>
      <c r="E42" s="1958"/>
      <c r="F42" s="1968"/>
    </row>
    <row r="43" spans="1:6" s="1965" customFormat="1" ht="77.25" thickBot="1" x14ac:dyDescent="0.25">
      <c r="A43" s="2120"/>
      <c r="B43" s="2127"/>
      <c r="C43" s="542" t="s">
        <v>9070</v>
      </c>
      <c r="D43" s="1018"/>
      <c r="E43" s="1958"/>
      <c r="F43" s="1968"/>
    </row>
    <row r="44" spans="1:6" s="1965" customFormat="1" ht="78.75" customHeight="1" thickBot="1" x14ac:dyDescent="0.25">
      <c r="A44" s="2124" t="s">
        <v>94</v>
      </c>
      <c r="B44" s="2126" t="s">
        <v>95</v>
      </c>
      <c r="C44" s="529" t="s">
        <v>9163</v>
      </c>
      <c r="D44" s="1019">
        <v>0</v>
      </c>
      <c r="E44" s="1958"/>
      <c r="F44" s="1968"/>
    </row>
    <row r="45" spans="1:6" s="1965" customFormat="1" ht="26.25" thickBot="1" x14ac:dyDescent="0.25">
      <c r="A45" s="2125"/>
      <c r="B45" s="2127"/>
      <c r="C45" s="983" t="s">
        <v>8355</v>
      </c>
      <c r="D45" s="1018"/>
      <c r="E45" s="1958"/>
      <c r="F45" s="1968"/>
    </row>
    <row r="46" spans="1:6" ht="39" thickBot="1" x14ac:dyDescent="0.25">
      <c r="A46" s="2118" t="s">
        <v>96</v>
      </c>
      <c r="B46" s="2121" t="s">
        <v>97</v>
      </c>
      <c r="C46" s="536" t="s">
        <v>98</v>
      </c>
      <c r="D46" s="1018"/>
      <c r="E46" s="1958"/>
      <c r="F46" s="1959"/>
    </row>
    <row r="47" spans="1:6" ht="15.75" x14ac:dyDescent="0.2">
      <c r="A47" s="2119"/>
      <c r="B47" s="2122"/>
      <c r="C47" s="531" t="s">
        <v>99</v>
      </c>
      <c r="D47" s="1020">
        <v>0</v>
      </c>
      <c r="E47" s="1958"/>
      <c r="F47" s="1959"/>
    </row>
    <row r="48" spans="1:6" ht="15.75" x14ac:dyDescent="0.2">
      <c r="A48" s="2119"/>
      <c r="B48" s="2122"/>
      <c r="C48" s="532" t="s">
        <v>100</v>
      </c>
      <c r="D48" s="1020">
        <v>0</v>
      </c>
      <c r="E48" s="1958"/>
      <c r="F48" s="1959"/>
    </row>
    <row r="49" spans="1:6" ht="15.75" x14ac:dyDescent="0.2">
      <c r="A49" s="2119"/>
      <c r="B49" s="2122"/>
      <c r="C49" s="532" t="s">
        <v>101</v>
      </c>
      <c r="D49" s="1020">
        <v>0</v>
      </c>
      <c r="E49" s="1958"/>
      <c r="F49" s="1959"/>
    </row>
    <row r="50" spans="1:6" ht="15.75" x14ac:dyDescent="0.2">
      <c r="A50" s="2119"/>
      <c r="B50" s="2122"/>
      <c r="C50" s="532" t="s">
        <v>102</v>
      </c>
      <c r="D50" s="1020">
        <v>0</v>
      </c>
      <c r="E50" s="1958"/>
      <c r="F50" s="1959"/>
    </row>
    <row r="51" spans="1:6" ht="16.5" thickBot="1" x14ac:dyDescent="0.25">
      <c r="A51" s="2119"/>
      <c r="B51" s="2122"/>
      <c r="C51" s="534" t="s">
        <v>103</v>
      </c>
      <c r="D51" s="1021">
        <v>0</v>
      </c>
      <c r="E51" s="1958"/>
      <c r="F51" s="1959"/>
    </row>
    <row r="52" spans="1:6" ht="26.25" thickBot="1" x14ac:dyDescent="0.25">
      <c r="A52" s="2120"/>
      <c r="B52" s="2123"/>
      <c r="C52" s="983" t="s">
        <v>104</v>
      </c>
      <c r="D52" s="1018"/>
      <c r="E52" s="1958"/>
      <c r="F52" s="1959"/>
    </row>
    <row r="53" spans="1:6" ht="16.5" thickBot="1" x14ac:dyDescent="0.25">
      <c r="A53" s="2118" t="s">
        <v>105</v>
      </c>
      <c r="B53" s="2121" t="s">
        <v>9084</v>
      </c>
      <c r="C53" s="536" t="s">
        <v>106</v>
      </c>
      <c r="D53" s="1018"/>
      <c r="E53" s="1958"/>
      <c r="F53" s="1959"/>
    </row>
    <row r="54" spans="1:6" ht="15.75" x14ac:dyDescent="0.2">
      <c r="A54" s="2119"/>
      <c r="B54" s="2122"/>
      <c r="C54" s="531" t="s">
        <v>107</v>
      </c>
      <c r="D54" s="1020">
        <v>0</v>
      </c>
      <c r="E54" s="1958"/>
      <c r="F54" s="1959"/>
    </row>
    <row r="55" spans="1:6" ht="15.75" x14ac:dyDescent="0.2">
      <c r="A55" s="2119"/>
      <c r="B55" s="2122"/>
      <c r="C55" s="532" t="s">
        <v>108</v>
      </c>
      <c r="D55" s="1020">
        <v>0</v>
      </c>
      <c r="E55" s="1958"/>
      <c r="F55" s="1959"/>
    </row>
    <row r="56" spans="1:6" ht="15.75" x14ac:dyDescent="0.2">
      <c r="A56" s="2119"/>
      <c r="B56" s="2122"/>
      <c r="C56" s="533" t="s">
        <v>109</v>
      </c>
      <c r="D56" s="1020">
        <v>0</v>
      </c>
      <c r="E56" s="1958"/>
      <c r="F56" s="1959"/>
    </row>
    <row r="57" spans="1:6" ht="15.75" x14ac:dyDescent="0.2">
      <c r="A57" s="2119"/>
      <c r="B57" s="2122"/>
      <c r="C57" s="533" t="s">
        <v>110</v>
      </c>
      <c r="D57" s="1020">
        <v>0</v>
      </c>
      <c r="E57" s="1958"/>
      <c r="F57" s="1959"/>
    </row>
    <row r="58" spans="1:6" ht="16.5" thickBot="1" x14ac:dyDescent="0.25">
      <c r="A58" s="2119"/>
      <c r="B58" s="2122"/>
      <c r="C58" s="534" t="s">
        <v>111</v>
      </c>
      <c r="D58" s="1020">
        <v>0</v>
      </c>
      <c r="E58" s="1958"/>
      <c r="F58" s="1959"/>
    </row>
    <row r="59" spans="1:6" ht="26.25" thickBot="1" x14ac:dyDescent="0.25">
      <c r="A59" s="2120"/>
      <c r="B59" s="2123"/>
      <c r="C59" s="546" t="s">
        <v>112</v>
      </c>
      <c r="D59" s="2073">
        <v>0</v>
      </c>
      <c r="E59" s="1958"/>
      <c r="F59" s="1959"/>
    </row>
    <row r="60" spans="1:6" ht="13.5" thickBot="1" x14ac:dyDescent="0.25">
      <c r="A60" s="2118" t="s">
        <v>113</v>
      </c>
      <c r="B60" s="2121" t="s">
        <v>9085</v>
      </c>
      <c r="C60" s="501" t="s">
        <v>114</v>
      </c>
      <c r="D60" s="1024"/>
      <c r="E60" s="502"/>
      <c r="F60" s="1959"/>
    </row>
    <row r="61" spans="1:6" x14ac:dyDescent="0.2">
      <c r="A61" s="2119"/>
      <c r="B61" s="2122"/>
      <c r="C61" s="1001" t="s">
        <v>115</v>
      </c>
      <c r="D61" s="1026">
        <v>0</v>
      </c>
      <c r="E61" s="502"/>
      <c r="F61" s="1959"/>
    </row>
    <row r="62" spans="1:6" x14ac:dyDescent="0.2">
      <c r="A62" s="2119"/>
      <c r="B62" s="2122"/>
      <c r="C62" s="1002" t="s">
        <v>116</v>
      </c>
      <c r="D62" s="1026">
        <v>0</v>
      </c>
      <c r="E62" s="502"/>
      <c r="F62" s="1959"/>
    </row>
    <row r="63" spans="1:6" ht="13.5" thickBot="1" x14ac:dyDescent="0.25">
      <c r="A63" s="2119"/>
      <c r="B63" s="2122"/>
      <c r="C63" s="1003" t="s">
        <v>117</v>
      </c>
      <c r="D63" s="1020">
        <v>0</v>
      </c>
      <c r="E63" s="502"/>
      <c r="F63" s="1959"/>
    </row>
    <row r="64" spans="1:6" ht="26.25" thickBot="1" x14ac:dyDescent="0.25">
      <c r="A64" s="2120"/>
      <c r="B64" s="2123"/>
      <c r="C64" s="984" t="s">
        <v>118</v>
      </c>
      <c r="D64" s="1018"/>
      <c r="E64" s="502"/>
      <c r="F64" s="1959"/>
    </row>
    <row r="65" spans="1:6" ht="16.5" thickBot="1" x14ac:dyDescent="0.25">
      <c r="A65" s="2118" t="s">
        <v>119</v>
      </c>
      <c r="B65" s="2121" t="s">
        <v>9086</v>
      </c>
      <c r="C65" s="529" t="s">
        <v>120</v>
      </c>
      <c r="D65" s="1018"/>
      <c r="E65" s="1958"/>
      <c r="F65" s="1959"/>
    </row>
    <row r="66" spans="1:6" ht="15.75" x14ac:dyDescent="0.2">
      <c r="A66" s="2119"/>
      <c r="B66" s="2122"/>
      <c r="C66" s="531" t="s">
        <v>121</v>
      </c>
      <c r="D66" s="1020">
        <v>0</v>
      </c>
      <c r="E66" s="1958"/>
      <c r="F66" s="1959"/>
    </row>
    <row r="67" spans="1:6" ht="15.75" x14ac:dyDescent="0.2">
      <c r="A67" s="2119"/>
      <c r="B67" s="2122"/>
      <c r="C67" s="532" t="s">
        <v>122</v>
      </c>
      <c r="D67" s="1020">
        <v>0</v>
      </c>
      <c r="E67" s="1958"/>
      <c r="F67" s="1959"/>
    </row>
    <row r="68" spans="1:6" ht="15.75" x14ac:dyDescent="0.2">
      <c r="A68" s="2119"/>
      <c r="B68" s="2122"/>
      <c r="C68" s="533" t="s">
        <v>123</v>
      </c>
      <c r="D68" s="1020">
        <v>0</v>
      </c>
      <c r="E68" s="1958"/>
      <c r="F68" s="1959"/>
    </row>
    <row r="69" spans="1:6" ht="15.75" x14ac:dyDescent="0.2">
      <c r="A69" s="2119"/>
      <c r="B69" s="2122"/>
      <c r="C69" s="533" t="s">
        <v>124</v>
      </c>
      <c r="D69" s="1020">
        <v>0</v>
      </c>
      <c r="E69" s="1958"/>
      <c r="F69" s="1959"/>
    </row>
    <row r="70" spans="1:6" ht="15.75" x14ac:dyDescent="0.2">
      <c r="A70" s="2119"/>
      <c r="B70" s="2122"/>
      <c r="C70" s="533" t="s">
        <v>108</v>
      </c>
      <c r="D70" s="1020">
        <v>0</v>
      </c>
      <c r="E70" s="1958"/>
      <c r="F70" s="1959"/>
    </row>
    <row r="71" spans="1:6" ht="16.5" thickBot="1" x14ac:dyDescent="0.25">
      <c r="A71" s="2119"/>
      <c r="B71" s="2122"/>
      <c r="C71" s="534" t="s">
        <v>125</v>
      </c>
      <c r="D71" s="1019">
        <v>0</v>
      </c>
      <c r="E71" s="1958"/>
      <c r="F71" s="1959"/>
    </row>
    <row r="72" spans="1:6" ht="39" thickBot="1" x14ac:dyDescent="0.25">
      <c r="A72" s="2120"/>
      <c r="B72" s="2123"/>
      <c r="C72" s="546" t="s">
        <v>126</v>
      </c>
      <c r="D72" s="1018"/>
      <c r="E72" s="1958"/>
      <c r="F72" s="1959"/>
    </row>
    <row r="73" spans="1:6" ht="51.75" thickBot="1" x14ac:dyDescent="0.25">
      <c r="A73" s="543" t="s">
        <v>127</v>
      </c>
      <c r="B73" s="1004" t="s">
        <v>128</v>
      </c>
      <c r="C73" s="544" t="s">
        <v>9065</v>
      </c>
      <c r="D73" s="1027">
        <v>0</v>
      </c>
      <c r="E73" s="1958"/>
      <c r="F73" s="1959"/>
    </row>
    <row r="74" spans="1:6" ht="26.25" thickBot="1" x14ac:dyDescent="0.25">
      <c r="A74" s="2118" t="s">
        <v>129</v>
      </c>
      <c r="B74" s="2121" t="s">
        <v>130</v>
      </c>
      <c r="C74" s="529" t="s">
        <v>131</v>
      </c>
      <c r="D74" s="1018"/>
      <c r="E74" s="1958"/>
      <c r="F74" s="1959"/>
    </row>
    <row r="75" spans="1:6" ht="25.5" x14ac:dyDescent="0.2">
      <c r="A75" s="2119"/>
      <c r="B75" s="2122"/>
      <c r="C75" s="531" t="s">
        <v>132</v>
      </c>
      <c r="D75" s="1019">
        <v>0</v>
      </c>
      <c r="E75" s="1958"/>
      <c r="F75" s="1959"/>
    </row>
    <row r="76" spans="1:6" s="1965" customFormat="1" ht="15.75" x14ac:dyDescent="0.2">
      <c r="A76" s="2119"/>
      <c r="B76" s="2122"/>
      <c r="C76" s="532" t="s">
        <v>133</v>
      </c>
      <c r="D76" s="1019">
        <v>0</v>
      </c>
      <c r="E76" s="1958"/>
      <c r="F76" s="1968"/>
    </row>
    <row r="77" spans="1:6" ht="15.75" x14ac:dyDescent="0.2">
      <c r="A77" s="2119"/>
      <c r="B77" s="2122"/>
      <c r="C77" s="532" t="s">
        <v>134</v>
      </c>
      <c r="D77" s="1019">
        <v>0</v>
      </c>
      <c r="E77" s="1958"/>
      <c r="F77" s="1959"/>
    </row>
    <row r="78" spans="1:6" ht="15.75" x14ac:dyDescent="0.2">
      <c r="A78" s="2119"/>
      <c r="B78" s="2122"/>
      <c r="C78" s="532" t="s">
        <v>87</v>
      </c>
      <c r="D78" s="1019">
        <v>0</v>
      </c>
      <c r="E78" s="1958"/>
      <c r="F78" s="1959"/>
    </row>
    <row r="79" spans="1:6" ht="15.75" x14ac:dyDescent="0.2">
      <c r="A79" s="2119"/>
      <c r="B79" s="2122"/>
      <c r="C79" s="532" t="s">
        <v>135</v>
      </c>
      <c r="D79" s="1019">
        <v>0</v>
      </c>
      <c r="E79" s="1958"/>
      <c r="F79" s="1959"/>
    </row>
    <row r="80" spans="1:6" ht="15.75" x14ac:dyDescent="0.2">
      <c r="A80" s="2119"/>
      <c r="B80" s="2122"/>
      <c r="C80" s="532" t="s">
        <v>136</v>
      </c>
      <c r="D80" s="1019">
        <v>0</v>
      </c>
      <c r="E80" s="1958"/>
      <c r="F80" s="1959"/>
    </row>
    <row r="81" spans="1:6" ht="16.5" thickBot="1" x14ac:dyDescent="0.25">
      <c r="A81" s="2120"/>
      <c r="B81" s="2123"/>
      <c r="C81" s="534" t="s">
        <v>137</v>
      </c>
      <c r="D81" s="1019">
        <v>0</v>
      </c>
      <c r="E81" s="1958"/>
      <c r="F81" s="1959"/>
    </row>
    <row r="82" spans="1:6" ht="26.25" thickBot="1" x14ac:dyDescent="0.25">
      <c r="A82" s="654" t="s">
        <v>138</v>
      </c>
      <c r="B82" s="2121" t="s">
        <v>9087</v>
      </c>
      <c r="C82" s="536" t="s">
        <v>139</v>
      </c>
      <c r="D82" s="1028"/>
      <c r="E82" s="1958"/>
      <c r="F82" s="1959"/>
    </row>
    <row r="83" spans="1:6" ht="15.75" x14ac:dyDescent="0.2">
      <c r="A83" s="530"/>
      <c r="B83" s="2122"/>
      <c r="C83" s="522" t="s">
        <v>107</v>
      </c>
      <c r="D83" s="1029">
        <v>0</v>
      </c>
      <c r="E83" s="1958"/>
      <c r="F83" s="1959"/>
    </row>
    <row r="84" spans="1:6" ht="15.75" x14ac:dyDescent="0.2">
      <c r="A84" s="530"/>
      <c r="B84" s="2122"/>
      <c r="C84" s="523" t="s">
        <v>140</v>
      </c>
      <c r="D84" s="1029">
        <v>0</v>
      </c>
      <c r="E84" s="1958"/>
      <c r="F84" s="1959"/>
    </row>
    <row r="85" spans="1:6" ht="15.75" x14ac:dyDescent="0.2">
      <c r="A85" s="530"/>
      <c r="B85" s="2122"/>
      <c r="C85" s="523" t="s">
        <v>141</v>
      </c>
      <c r="D85" s="1029">
        <v>0</v>
      </c>
      <c r="E85" s="1958"/>
      <c r="F85" s="1959"/>
    </row>
    <row r="86" spans="1:6" ht="15.75" x14ac:dyDescent="0.2">
      <c r="A86" s="530"/>
      <c r="B86" s="2122"/>
      <c r="C86" s="523" t="s">
        <v>142</v>
      </c>
      <c r="D86" s="1029">
        <v>0</v>
      </c>
      <c r="E86" s="1958"/>
      <c r="F86" s="1959"/>
    </row>
    <row r="87" spans="1:6" ht="15.75" x14ac:dyDescent="0.2">
      <c r="A87" s="530"/>
      <c r="B87" s="2122"/>
      <c r="C87" s="530" t="s">
        <v>143</v>
      </c>
      <c r="D87" s="1029">
        <v>0</v>
      </c>
      <c r="E87" s="1958"/>
      <c r="F87" s="1959"/>
    </row>
    <row r="88" spans="1:6" ht="16.5" thickBot="1" x14ac:dyDescent="0.25">
      <c r="A88" s="526"/>
      <c r="B88" s="2123"/>
      <c r="C88" s="524" t="s">
        <v>144</v>
      </c>
      <c r="D88" s="1029">
        <v>0</v>
      </c>
      <c r="E88" s="1958"/>
      <c r="F88" s="1959"/>
    </row>
    <row r="89" spans="1:6" ht="16.5" thickBot="1" x14ac:dyDescent="0.25">
      <c r="A89" s="654" t="s">
        <v>145</v>
      </c>
      <c r="B89" s="2121" t="s">
        <v>9088</v>
      </c>
      <c r="C89" s="529" t="s">
        <v>146</v>
      </c>
      <c r="D89" s="1018"/>
      <c r="E89" s="1958"/>
      <c r="F89" s="1959"/>
    </row>
    <row r="90" spans="1:6" ht="15.75" x14ac:dyDescent="0.2">
      <c r="A90" s="530"/>
      <c r="B90" s="2122"/>
      <c r="C90" s="522" t="s">
        <v>107</v>
      </c>
      <c r="D90" s="1029">
        <v>0</v>
      </c>
      <c r="E90" s="1958"/>
      <c r="F90" s="1959"/>
    </row>
    <row r="91" spans="1:6" ht="15.75" x14ac:dyDescent="0.2">
      <c r="A91" s="530"/>
      <c r="B91" s="2122"/>
      <c r="C91" s="523" t="s">
        <v>140</v>
      </c>
      <c r="D91" s="1029">
        <v>0</v>
      </c>
      <c r="E91" s="1958"/>
      <c r="F91" s="1959"/>
    </row>
    <row r="92" spans="1:6" ht="15.75" x14ac:dyDescent="0.2">
      <c r="A92" s="530"/>
      <c r="B92" s="2122"/>
      <c r="C92" s="523" t="s">
        <v>110</v>
      </c>
      <c r="D92" s="1029">
        <v>0</v>
      </c>
      <c r="E92" s="1958"/>
      <c r="F92" s="1959"/>
    </row>
    <row r="93" spans="1:6" ht="15.75" x14ac:dyDescent="0.2">
      <c r="A93" s="530"/>
      <c r="B93" s="2122"/>
      <c r="C93" s="523" t="s">
        <v>143</v>
      </c>
      <c r="D93" s="1029">
        <v>0</v>
      </c>
      <c r="E93" s="1958"/>
      <c r="F93" s="1959"/>
    </row>
    <row r="94" spans="1:6" ht="15.75" x14ac:dyDescent="0.2">
      <c r="A94" s="530"/>
      <c r="B94" s="2122"/>
      <c r="C94" s="530" t="s">
        <v>147</v>
      </c>
      <c r="D94" s="1029">
        <v>0</v>
      </c>
      <c r="E94" s="1958"/>
      <c r="F94" s="1959"/>
    </row>
    <row r="95" spans="1:6" ht="16.5" thickBot="1" x14ac:dyDescent="0.25">
      <c r="A95" s="530"/>
      <c r="B95" s="2122"/>
      <c r="C95" s="528" t="s">
        <v>148</v>
      </c>
      <c r="D95" s="1029">
        <v>0</v>
      </c>
      <c r="E95" s="1958"/>
      <c r="F95" s="1959"/>
    </row>
    <row r="96" spans="1:6" ht="51.75" thickBot="1" x14ac:dyDescent="0.25">
      <c r="A96" s="526"/>
      <c r="B96" s="2123"/>
      <c r="C96" s="500" t="s">
        <v>9003</v>
      </c>
      <c r="D96" s="1018"/>
      <c r="E96" s="1958"/>
      <c r="F96" s="1959"/>
    </row>
    <row r="97" spans="1:6" ht="16.5" thickBot="1" x14ac:dyDescent="0.25">
      <c r="A97" s="654" t="s">
        <v>149</v>
      </c>
      <c r="B97" s="2121" t="s">
        <v>150</v>
      </c>
      <c r="C97" s="529" t="s">
        <v>151</v>
      </c>
      <c r="D97" s="1018"/>
      <c r="E97" s="1958"/>
      <c r="F97" s="1959"/>
    </row>
    <row r="98" spans="1:6" ht="25.5" x14ac:dyDescent="0.2">
      <c r="A98" s="530"/>
      <c r="B98" s="2122"/>
      <c r="C98" s="531" t="s">
        <v>152</v>
      </c>
      <c r="D98" s="1020">
        <v>0</v>
      </c>
      <c r="E98" s="1958"/>
      <c r="F98" s="1959"/>
    </row>
    <row r="99" spans="1:6" ht="25.5" x14ac:dyDescent="0.2">
      <c r="A99" s="530"/>
      <c r="B99" s="2122"/>
      <c r="C99" s="532" t="s">
        <v>153</v>
      </c>
      <c r="D99" s="1020">
        <v>0</v>
      </c>
      <c r="E99" s="1958"/>
      <c r="F99" s="1959"/>
    </row>
    <row r="100" spans="1:6" ht="25.5" x14ac:dyDescent="0.2">
      <c r="A100" s="530"/>
      <c r="B100" s="2122"/>
      <c r="C100" s="532" t="s">
        <v>154</v>
      </c>
      <c r="D100" s="1020">
        <v>0</v>
      </c>
      <c r="E100" s="1958"/>
      <c r="F100" s="1959"/>
    </row>
    <row r="101" spans="1:6" ht="25.5" x14ac:dyDescent="0.2">
      <c r="A101" s="530"/>
      <c r="B101" s="2122"/>
      <c r="C101" s="532" t="s">
        <v>155</v>
      </c>
      <c r="D101" s="1020">
        <v>0</v>
      </c>
      <c r="E101" s="1958"/>
      <c r="F101" s="1959"/>
    </row>
    <row r="102" spans="1:6" ht="26.25" thickBot="1" x14ac:dyDescent="0.25">
      <c r="A102" s="526"/>
      <c r="B102" s="2123"/>
      <c r="C102" s="534" t="s">
        <v>156</v>
      </c>
      <c r="D102" s="1030">
        <v>0</v>
      </c>
      <c r="E102" s="1958"/>
      <c r="F102" s="1959"/>
    </row>
    <row r="103" spans="1:6" ht="16.5" thickBot="1" x14ac:dyDescent="0.25">
      <c r="A103" s="654" t="s">
        <v>157</v>
      </c>
      <c r="B103" s="2121" t="s">
        <v>158</v>
      </c>
      <c r="C103" s="545" t="s">
        <v>159</v>
      </c>
      <c r="D103" s="2074"/>
      <c r="E103" s="1958"/>
      <c r="F103" s="1959"/>
    </row>
    <row r="104" spans="1:6" ht="25.5" x14ac:dyDescent="0.2">
      <c r="A104" s="530"/>
      <c r="B104" s="2122"/>
      <c r="C104" s="535" t="s">
        <v>160</v>
      </c>
      <c r="D104" s="1020">
        <v>0</v>
      </c>
      <c r="E104" s="1958"/>
      <c r="F104" s="1959"/>
    </row>
    <row r="105" spans="1:6" ht="38.25" x14ac:dyDescent="0.2">
      <c r="A105" s="530"/>
      <c r="B105" s="2122"/>
      <c r="C105" s="532" t="s">
        <v>161</v>
      </c>
      <c r="D105" s="1020">
        <v>0</v>
      </c>
      <c r="E105" s="1958"/>
      <c r="F105" s="1959"/>
    </row>
    <row r="106" spans="1:6" ht="38.25" x14ac:dyDescent="0.2">
      <c r="A106" s="530"/>
      <c r="B106" s="2122"/>
      <c r="C106" s="532" t="s">
        <v>9071</v>
      </c>
      <c r="D106" s="1020">
        <v>0</v>
      </c>
      <c r="E106" s="1958"/>
      <c r="F106" s="1959"/>
    </row>
    <row r="107" spans="1:6" ht="30.75" customHeight="1" thickBot="1" x14ac:dyDescent="0.25">
      <c r="A107" s="530"/>
      <c r="B107" s="2122"/>
      <c r="C107" s="534" t="s">
        <v>9067</v>
      </c>
      <c r="D107" s="1022">
        <v>0</v>
      </c>
      <c r="E107" s="1958"/>
      <c r="F107" s="1959"/>
    </row>
    <row r="108" spans="1:6" ht="51.75" thickBot="1" x14ac:dyDescent="0.25">
      <c r="A108" s="526"/>
      <c r="B108" s="2123"/>
      <c r="C108" s="983" t="s">
        <v>162</v>
      </c>
      <c r="D108" s="1031"/>
      <c r="E108" s="1958"/>
      <c r="F108" s="1959"/>
    </row>
    <row r="109" spans="1:6" ht="51.75" thickBot="1" x14ac:dyDescent="0.25">
      <c r="A109" s="543" t="s">
        <v>163</v>
      </c>
      <c r="B109" s="1004" t="s">
        <v>164</v>
      </c>
      <c r="C109" s="983" t="s">
        <v>165</v>
      </c>
      <c r="D109" s="1032"/>
      <c r="E109" s="1962"/>
      <c r="F109" s="1959"/>
    </row>
    <row r="110" spans="1:6" ht="69" customHeight="1" thickBot="1" x14ac:dyDescent="0.25">
      <c r="A110" s="542" t="s">
        <v>166</v>
      </c>
      <c r="B110" s="1005" t="s">
        <v>9011</v>
      </c>
      <c r="C110" s="529" t="s">
        <v>9009</v>
      </c>
      <c r="D110" s="1033">
        <v>0</v>
      </c>
      <c r="E110" s="1958"/>
      <c r="F110" s="1959"/>
    </row>
    <row r="111" spans="1:6" ht="39" thickBot="1" x14ac:dyDescent="0.25">
      <c r="A111" s="654" t="s">
        <v>167</v>
      </c>
      <c r="B111" s="2121" t="s">
        <v>168</v>
      </c>
      <c r="C111" s="536" t="s">
        <v>169</v>
      </c>
      <c r="D111" s="1018"/>
      <c r="E111" s="1958"/>
      <c r="F111" s="1959"/>
    </row>
    <row r="112" spans="1:6" ht="15.75" x14ac:dyDescent="0.2">
      <c r="A112" s="530"/>
      <c r="B112" s="2122"/>
      <c r="C112" s="531" t="s">
        <v>170</v>
      </c>
      <c r="D112" s="1029">
        <v>0</v>
      </c>
      <c r="E112" s="1958"/>
      <c r="F112" s="1959"/>
    </row>
    <row r="113" spans="1:6" ht="25.5" x14ac:dyDescent="0.2">
      <c r="A113" s="530"/>
      <c r="B113" s="2122"/>
      <c r="C113" s="532" t="s">
        <v>171</v>
      </c>
      <c r="D113" s="1029">
        <v>0</v>
      </c>
      <c r="E113" s="1958"/>
      <c r="F113" s="1959"/>
    </row>
    <row r="114" spans="1:6" ht="25.5" x14ac:dyDescent="0.2">
      <c r="A114" s="530"/>
      <c r="B114" s="2122"/>
      <c r="C114" s="532" t="s">
        <v>172</v>
      </c>
      <c r="D114" s="1029">
        <v>0</v>
      </c>
      <c r="E114" s="1958"/>
      <c r="F114" s="1959"/>
    </row>
    <row r="115" spans="1:6" ht="26.25" thickBot="1" x14ac:dyDescent="0.25">
      <c r="A115" s="526"/>
      <c r="B115" s="2123"/>
      <c r="C115" s="534" t="s">
        <v>173</v>
      </c>
      <c r="D115" s="1029">
        <v>0</v>
      </c>
      <c r="E115" s="1958"/>
      <c r="F115" s="1959"/>
    </row>
    <row r="116" spans="1:6" ht="16.5" thickBot="1" x14ac:dyDescent="0.25">
      <c r="A116" s="654" t="s">
        <v>174</v>
      </c>
      <c r="B116" s="2121" t="s">
        <v>175</v>
      </c>
      <c r="C116" s="529" t="s">
        <v>176</v>
      </c>
      <c r="D116" s="1018"/>
      <c r="E116" s="1958"/>
      <c r="F116" s="1959"/>
    </row>
    <row r="117" spans="1:6" ht="15.75" x14ac:dyDescent="0.2">
      <c r="A117" s="530"/>
      <c r="B117" s="2122"/>
      <c r="C117" s="531" t="s">
        <v>177</v>
      </c>
      <c r="D117" s="1029">
        <v>0</v>
      </c>
      <c r="E117" s="1958"/>
      <c r="F117" s="1959"/>
    </row>
    <row r="118" spans="1:6" ht="25.5" x14ac:dyDescent="0.2">
      <c r="A118" s="530"/>
      <c r="B118" s="2122"/>
      <c r="C118" s="535" t="s">
        <v>178</v>
      </c>
      <c r="D118" s="1029">
        <v>0</v>
      </c>
      <c r="E118" s="1958"/>
      <c r="F118" s="1959"/>
    </row>
    <row r="119" spans="1:6" ht="25.5" x14ac:dyDescent="0.2">
      <c r="A119" s="530"/>
      <c r="B119" s="2122"/>
      <c r="C119" s="532" t="s">
        <v>172</v>
      </c>
      <c r="D119" s="1029">
        <v>0</v>
      </c>
      <c r="E119" s="1958"/>
      <c r="F119" s="1959"/>
    </row>
    <row r="120" spans="1:6" ht="39" thickBot="1" x14ac:dyDescent="0.25">
      <c r="A120" s="526"/>
      <c r="B120" s="2123"/>
      <c r="C120" s="534" t="s">
        <v>179</v>
      </c>
      <c r="D120" s="1029">
        <v>0</v>
      </c>
      <c r="E120" s="1958"/>
      <c r="F120" s="1959"/>
    </row>
    <row r="121" spans="1:6" ht="77.25" thickBot="1" x14ac:dyDescent="0.25">
      <c r="A121" s="654" t="s">
        <v>180</v>
      </c>
      <c r="B121" s="2121" t="s">
        <v>181</v>
      </c>
      <c r="C121" s="501" t="s">
        <v>182</v>
      </c>
      <c r="D121" s="1018"/>
      <c r="E121" s="1958"/>
      <c r="F121" s="1959"/>
    </row>
    <row r="122" spans="1:6" ht="15.75" x14ac:dyDescent="0.2">
      <c r="A122" s="530"/>
      <c r="B122" s="2122"/>
      <c r="C122" s="527" t="s">
        <v>183</v>
      </c>
      <c r="D122" s="1034">
        <v>0</v>
      </c>
      <c r="E122" s="1958"/>
      <c r="F122" s="1959"/>
    </row>
    <row r="123" spans="1:6" ht="15.75" x14ac:dyDescent="0.2">
      <c r="A123" s="530"/>
      <c r="B123" s="2122"/>
      <c r="C123" s="523" t="s">
        <v>184</v>
      </c>
      <c r="D123" s="1034">
        <v>0</v>
      </c>
      <c r="E123" s="1958"/>
      <c r="F123" s="1959"/>
    </row>
    <row r="124" spans="1:6" ht="15.75" x14ac:dyDescent="0.2">
      <c r="A124" s="530"/>
      <c r="B124" s="2122"/>
      <c r="C124" s="523" t="s">
        <v>185</v>
      </c>
      <c r="D124" s="1034">
        <v>0</v>
      </c>
      <c r="E124" s="1958"/>
      <c r="F124" s="1959"/>
    </row>
    <row r="125" spans="1:6" ht="26.25" thickBot="1" x14ac:dyDescent="0.25">
      <c r="A125" s="530"/>
      <c r="B125" s="2122"/>
      <c r="C125" s="524" t="s">
        <v>186</v>
      </c>
      <c r="D125" s="1030">
        <v>0</v>
      </c>
      <c r="E125" s="1958" t="s">
        <v>187</v>
      </c>
      <c r="F125" s="1959"/>
    </row>
    <row r="126" spans="1:6" ht="26.25" thickBot="1" x14ac:dyDescent="0.25">
      <c r="A126" s="526"/>
      <c r="B126" s="2123"/>
      <c r="C126" s="984" t="s">
        <v>188</v>
      </c>
      <c r="D126" s="1031"/>
      <c r="E126" s="1958"/>
      <c r="F126" s="1959"/>
    </row>
    <row r="127" spans="1:6" ht="39" thickBot="1" x14ac:dyDescent="0.25">
      <c r="A127" s="654" t="s">
        <v>189</v>
      </c>
      <c r="B127" s="2121" t="s">
        <v>190</v>
      </c>
      <c r="C127" s="529" t="s">
        <v>191</v>
      </c>
      <c r="D127" s="1031"/>
      <c r="E127" s="1958"/>
      <c r="F127" s="1959"/>
    </row>
    <row r="128" spans="1:6" ht="15.75" x14ac:dyDescent="0.2">
      <c r="A128" s="530"/>
      <c r="B128" s="2122"/>
      <c r="C128" s="544" t="s">
        <v>192</v>
      </c>
      <c r="D128" s="1029">
        <v>0</v>
      </c>
      <c r="E128" s="1958"/>
      <c r="F128" s="1959"/>
    </row>
    <row r="129" spans="1:6" ht="15.75" x14ac:dyDescent="0.2">
      <c r="A129" s="530"/>
      <c r="B129" s="2122"/>
      <c r="C129" s="532" t="s">
        <v>193</v>
      </c>
      <c r="D129" s="1029">
        <v>0</v>
      </c>
      <c r="E129" s="1958"/>
      <c r="F129" s="1959"/>
    </row>
    <row r="130" spans="1:6" ht="16.5" thickBot="1" x14ac:dyDescent="0.25">
      <c r="A130" s="526"/>
      <c r="B130" s="2123"/>
      <c r="C130" s="534" t="s">
        <v>194</v>
      </c>
      <c r="D130" s="1029">
        <v>0</v>
      </c>
      <c r="E130" s="1958"/>
      <c r="F130" s="1959"/>
    </row>
    <row r="131" spans="1:6" ht="115.5" thickBot="1" x14ac:dyDescent="0.25">
      <c r="A131" s="654" t="s">
        <v>195</v>
      </c>
      <c r="B131" s="2121" t="s">
        <v>196</v>
      </c>
      <c r="C131" s="536" t="s">
        <v>9068</v>
      </c>
      <c r="D131" s="1018"/>
      <c r="E131" s="1958"/>
      <c r="F131" s="1959"/>
    </row>
    <row r="132" spans="1:6" ht="15.75" x14ac:dyDescent="0.2">
      <c r="A132" s="530"/>
      <c r="B132" s="2122"/>
      <c r="C132" s="531" t="s">
        <v>197</v>
      </c>
      <c r="D132" s="1034">
        <v>0</v>
      </c>
      <c r="E132" s="1958"/>
      <c r="F132" s="1959"/>
    </row>
    <row r="133" spans="1:6" ht="15.75" x14ac:dyDescent="0.2">
      <c r="A133" s="530"/>
      <c r="B133" s="2122"/>
      <c r="C133" s="532" t="s">
        <v>198</v>
      </c>
      <c r="D133" s="1034">
        <v>0</v>
      </c>
      <c r="E133" s="1958"/>
      <c r="F133" s="1959"/>
    </row>
    <row r="134" spans="1:6" ht="16.5" thickBot="1" x14ac:dyDescent="0.25">
      <c r="A134" s="526"/>
      <c r="B134" s="2123"/>
      <c r="C134" s="534" t="s">
        <v>199</v>
      </c>
      <c r="D134" s="1030">
        <v>0</v>
      </c>
      <c r="E134" s="1958"/>
      <c r="F134" s="1959"/>
    </row>
    <row r="135" spans="1:6" ht="16.5" thickBot="1" x14ac:dyDescent="0.25">
      <c r="A135" s="654" t="s">
        <v>200</v>
      </c>
      <c r="B135" s="2121" t="s">
        <v>9079</v>
      </c>
      <c r="C135" s="529" t="s">
        <v>201</v>
      </c>
      <c r="D135" s="2075">
        <v>0</v>
      </c>
      <c r="E135" s="1958"/>
      <c r="F135" s="1959"/>
    </row>
    <row r="136" spans="1:6" ht="15.75" x14ac:dyDescent="0.2">
      <c r="A136" s="530"/>
      <c r="B136" s="2122"/>
      <c r="C136" s="531" t="s">
        <v>202</v>
      </c>
      <c r="D136" s="1034">
        <v>0</v>
      </c>
      <c r="E136" s="1958"/>
      <c r="F136" s="1959"/>
    </row>
    <row r="137" spans="1:6" ht="15.75" x14ac:dyDescent="0.2">
      <c r="A137" s="530"/>
      <c r="B137" s="2122"/>
      <c r="C137" s="532" t="s">
        <v>203</v>
      </c>
      <c r="D137" s="1034">
        <v>0</v>
      </c>
      <c r="E137" s="1958"/>
      <c r="F137" s="1959"/>
    </row>
    <row r="138" spans="1:6" ht="16.5" thickBot="1" x14ac:dyDescent="0.25">
      <c r="A138" s="526"/>
      <c r="B138" s="2123"/>
      <c r="C138" s="534" t="s">
        <v>204</v>
      </c>
      <c r="D138" s="1035">
        <v>0</v>
      </c>
      <c r="E138" s="1958"/>
      <c r="F138" s="1959"/>
    </row>
    <row r="139" spans="1:6" ht="64.5" thickBot="1" x14ac:dyDescent="0.25">
      <c r="A139" s="654" t="s">
        <v>205</v>
      </c>
      <c r="B139" s="2121" t="s">
        <v>206</v>
      </c>
      <c r="C139" s="536" t="s">
        <v>9096</v>
      </c>
      <c r="D139" s="1018"/>
      <c r="E139" s="1958"/>
      <c r="F139" s="1959"/>
    </row>
    <row r="140" spans="1:6" ht="15.75" x14ac:dyDescent="0.2">
      <c r="A140" s="530"/>
      <c r="B140" s="2122"/>
      <c r="C140" s="531" t="s">
        <v>9095</v>
      </c>
      <c r="D140" s="1034">
        <v>0</v>
      </c>
      <c r="E140" s="1958"/>
      <c r="F140" s="1959"/>
    </row>
    <row r="141" spans="1:6" ht="15.75" x14ac:dyDescent="0.2">
      <c r="A141" s="530"/>
      <c r="B141" s="2122"/>
      <c r="C141" s="532" t="s">
        <v>9094</v>
      </c>
      <c r="D141" s="1034">
        <v>0</v>
      </c>
      <c r="E141" s="1958"/>
      <c r="F141" s="1959"/>
    </row>
    <row r="142" spans="1:6" ht="15.75" x14ac:dyDescent="0.2">
      <c r="A142" s="530"/>
      <c r="B142" s="2122"/>
      <c r="C142" s="533" t="s">
        <v>9093</v>
      </c>
      <c r="D142" s="1034">
        <v>0</v>
      </c>
      <c r="E142" s="1958"/>
      <c r="F142" s="1959"/>
    </row>
    <row r="143" spans="1:6" ht="15.75" x14ac:dyDescent="0.2">
      <c r="A143" s="530"/>
      <c r="B143" s="2122"/>
      <c r="C143" s="533" t="s">
        <v>9092</v>
      </c>
      <c r="D143" s="1034">
        <v>0</v>
      </c>
      <c r="E143" s="1958"/>
      <c r="F143" s="1959"/>
    </row>
    <row r="144" spans="1:6" ht="15.75" x14ac:dyDescent="0.2">
      <c r="A144" s="530"/>
      <c r="B144" s="2122"/>
      <c r="C144" s="533" t="s">
        <v>9091</v>
      </c>
      <c r="D144" s="1034">
        <v>0</v>
      </c>
      <c r="E144" s="1958"/>
      <c r="F144" s="1959"/>
    </row>
    <row r="145" spans="1:6" ht="16.5" thickBot="1" x14ac:dyDescent="0.25">
      <c r="A145" s="530"/>
      <c r="B145" s="2122"/>
      <c r="C145" s="534" t="s">
        <v>9090</v>
      </c>
      <c r="D145" s="1030">
        <v>0</v>
      </c>
      <c r="E145" s="1958"/>
      <c r="F145" s="1959"/>
    </row>
    <row r="146" spans="1:6" ht="51.75" thickBot="1" x14ac:dyDescent="0.25">
      <c r="A146" s="526"/>
      <c r="B146" s="2123"/>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121" t="s">
        <v>210</v>
      </c>
      <c r="C148" s="536" t="s">
        <v>211</v>
      </c>
      <c r="D148" s="1037"/>
      <c r="E148" s="1958"/>
      <c r="F148" s="1959"/>
    </row>
    <row r="149" spans="1:6" ht="111" customHeight="1" x14ac:dyDescent="0.2">
      <c r="A149" s="530"/>
      <c r="B149" s="2122"/>
      <c r="C149" s="531" t="s">
        <v>9097</v>
      </c>
      <c r="D149" s="1029">
        <v>0</v>
      </c>
      <c r="E149" s="1958"/>
      <c r="F149" s="1959"/>
    </row>
    <row r="150" spans="1:6" ht="39" thickBot="1" x14ac:dyDescent="0.25">
      <c r="A150" s="530"/>
      <c r="B150" s="2122"/>
      <c r="C150" s="532" t="s">
        <v>212</v>
      </c>
      <c r="D150" s="1029">
        <v>0</v>
      </c>
      <c r="E150" s="1958"/>
      <c r="F150" s="1959"/>
    </row>
    <row r="151" spans="1:6" ht="26.25" thickBot="1" x14ac:dyDescent="0.25">
      <c r="A151" s="526"/>
      <c r="B151" s="2123"/>
      <c r="C151" s="542" t="s">
        <v>9012</v>
      </c>
      <c r="D151" s="1018"/>
      <c r="E151" s="1958"/>
      <c r="F151" s="1959"/>
    </row>
    <row r="152" spans="1:6" ht="26.25" thickBot="1" x14ac:dyDescent="0.25">
      <c r="A152" s="654" t="s">
        <v>213</v>
      </c>
      <c r="B152" s="2121" t="s">
        <v>214</v>
      </c>
      <c r="C152" s="529" t="s">
        <v>215</v>
      </c>
      <c r="D152" s="1038"/>
      <c r="E152" s="1958"/>
      <c r="F152" s="1959"/>
    </row>
    <row r="153" spans="1:6" ht="38.25" x14ac:dyDescent="0.2">
      <c r="A153" s="530"/>
      <c r="B153" s="2122"/>
      <c r="C153" s="531" t="s">
        <v>9004</v>
      </c>
      <c r="D153" s="1039">
        <v>0</v>
      </c>
      <c r="E153" s="1958"/>
      <c r="F153" s="1959"/>
    </row>
    <row r="154" spans="1:6" ht="25.5" x14ac:dyDescent="0.2">
      <c r="A154" s="530"/>
      <c r="B154" s="2122"/>
      <c r="C154" s="532" t="s">
        <v>216</v>
      </c>
      <c r="D154" s="1040">
        <v>0</v>
      </c>
      <c r="E154" s="1958"/>
      <c r="F154" s="1959"/>
    </row>
    <row r="155" spans="1:6" ht="25.5" x14ac:dyDescent="0.2">
      <c r="A155" s="530"/>
      <c r="B155" s="2122"/>
      <c r="C155" s="532" t="s">
        <v>217</v>
      </c>
      <c r="D155" s="1040">
        <v>0</v>
      </c>
      <c r="E155" s="1958"/>
      <c r="F155" s="1959"/>
    </row>
    <row r="156" spans="1:6" ht="25.5" x14ac:dyDescent="0.2">
      <c r="A156" s="530"/>
      <c r="B156" s="2122"/>
      <c r="C156" s="532" t="s">
        <v>218</v>
      </c>
      <c r="D156" s="1040">
        <v>0</v>
      </c>
      <c r="E156" s="1958"/>
      <c r="F156" s="1959"/>
    </row>
    <row r="157" spans="1:6" ht="25.5" x14ac:dyDescent="0.2">
      <c r="A157" s="530"/>
      <c r="B157" s="2122"/>
      <c r="C157" s="532" t="s">
        <v>9127</v>
      </c>
      <c r="D157" s="1040">
        <v>0</v>
      </c>
      <c r="E157" s="1958"/>
      <c r="F157" s="1959"/>
    </row>
    <row r="158" spans="1:6" ht="16.5" thickBot="1" x14ac:dyDescent="0.25">
      <c r="A158" s="530"/>
      <c r="B158" s="2122"/>
      <c r="C158" s="534" t="s">
        <v>219</v>
      </c>
      <c r="D158" s="1035">
        <v>0</v>
      </c>
      <c r="E158" s="1958"/>
      <c r="F158" s="1959"/>
    </row>
    <row r="159" spans="1:6" ht="90" thickBot="1" x14ac:dyDescent="0.25">
      <c r="A159" s="530"/>
      <c r="B159" s="2122"/>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1</v>
      </c>
      <c r="E161" s="1958"/>
      <c r="F161" s="1959"/>
    </row>
    <row r="162" spans="1:6" ht="57.75" customHeight="1" thickBot="1" x14ac:dyDescent="0.25">
      <c r="A162" s="2118" t="s">
        <v>227</v>
      </c>
      <c r="B162" s="2121" t="s">
        <v>228</v>
      </c>
      <c r="C162" s="529" t="s">
        <v>229</v>
      </c>
      <c r="D162" s="1043">
        <v>0</v>
      </c>
      <c r="E162" s="1958"/>
      <c r="F162" s="1959"/>
    </row>
    <row r="163" spans="1:6" ht="39" thickBot="1" x14ac:dyDescent="0.25">
      <c r="A163" s="2120"/>
      <c r="B163" s="2123"/>
      <c r="C163" s="983" t="s">
        <v>230</v>
      </c>
      <c r="D163" s="1018"/>
      <c r="E163" s="1958"/>
      <c r="F163" s="1959"/>
    </row>
    <row r="164" spans="1:6" ht="77.25" thickBot="1" x14ac:dyDescent="0.25">
      <c r="A164" s="544" t="s">
        <v>231</v>
      </c>
      <c r="B164" s="1006" t="s">
        <v>9089</v>
      </c>
      <c r="C164" s="529" t="s">
        <v>232</v>
      </c>
      <c r="D164" s="1029"/>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c r="E167" s="1958"/>
      <c r="F167" s="1959"/>
    </row>
    <row r="168" spans="1:6" ht="33" customHeight="1" thickBot="1" x14ac:dyDescent="0.25">
      <c r="A168" s="2118" t="s">
        <v>239</v>
      </c>
      <c r="B168" s="2121" t="s">
        <v>240</v>
      </c>
      <c r="C168" s="529" t="s">
        <v>9105</v>
      </c>
      <c r="D168" s="1045">
        <v>0</v>
      </c>
      <c r="E168" s="1958"/>
      <c r="F168" s="1959"/>
    </row>
    <row r="169" spans="1:6" ht="16.5" thickBot="1" x14ac:dyDescent="0.25">
      <c r="A169" s="2120"/>
      <c r="B169" s="2123"/>
      <c r="C169" s="544" t="s">
        <v>9013</v>
      </c>
      <c r="D169" s="1046"/>
      <c r="E169" s="1958"/>
      <c r="F169" s="1959"/>
    </row>
    <row r="170" spans="1:6" ht="26.25" thickBot="1" x14ac:dyDescent="0.25">
      <c r="A170" s="2128" t="s">
        <v>241</v>
      </c>
      <c r="B170" s="2121" t="s">
        <v>9083</v>
      </c>
      <c r="C170" s="500" t="s">
        <v>242</v>
      </c>
      <c r="D170" s="1046"/>
      <c r="E170" s="1958"/>
      <c r="F170" s="1959"/>
    </row>
    <row r="171" spans="1:6" ht="38.25" x14ac:dyDescent="0.2">
      <c r="A171" s="2129"/>
      <c r="B171" s="2122"/>
      <c r="C171" s="522" t="s">
        <v>243</v>
      </c>
      <c r="D171" s="1047">
        <v>0</v>
      </c>
      <c r="E171" s="1958"/>
      <c r="F171" s="1959"/>
    </row>
    <row r="172" spans="1:6" ht="25.5" x14ac:dyDescent="0.2">
      <c r="A172" s="2129"/>
      <c r="B172" s="2122"/>
      <c r="C172" s="523" t="s">
        <v>244</v>
      </c>
      <c r="D172" s="1047">
        <v>0</v>
      </c>
      <c r="E172" s="1958"/>
      <c r="F172" s="1959"/>
    </row>
    <row r="173" spans="1:6" ht="26.25" thickBot="1" x14ac:dyDescent="0.25">
      <c r="A173" s="2129"/>
      <c r="B173" s="2122"/>
      <c r="C173" s="532" t="s">
        <v>245</v>
      </c>
      <c r="D173" s="1048">
        <v>1</v>
      </c>
      <c r="E173" s="1958"/>
      <c r="F173" s="1959"/>
    </row>
    <row r="174" spans="1:6" ht="26.25" thickBot="1" x14ac:dyDescent="0.25">
      <c r="A174" s="2130"/>
      <c r="B174" s="2123"/>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B148:B151"/>
    <mergeCell ref="B152:B159"/>
    <mergeCell ref="B170:B174"/>
    <mergeCell ref="B162:B163"/>
    <mergeCell ref="A162:A163"/>
    <mergeCell ref="A170:A174"/>
    <mergeCell ref="B168:B169"/>
    <mergeCell ref="A168:A169"/>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89:B96"/>
    <mergeCell ref="B97:B102"/>
    <mergeCell ref="B103:B108"/>
    <mergeCell ref="B111:B115"/>
    <mergeCell ref="B116:B120"/>
    <mergeCell ref="B121:B126"/>
    <mergeCell ref="B127:B130"/>
    <mergeCell ref="B131:B134"/>
    <mergeCell ref="B135:B138"/>
    <mergeCell ref="B139:B146"/>
    <mergeCell ref="A1:C1"/>
    <mergeCell ref="A2:C2"/>
    <mergeCell ref="A65:A72"/>
    <mergeCell ref="B65:B72"/>
    <mergeCell ref="A5:A9"/>
    <mergeCell ref="B5:B9"/>
    <mergeCell ref="B10:B17"/>
    <mergeCell ref="A10:A17"/>
    <mergeCell ref="B18:B24"/>
    <mergeCell ref="A18:A24"/>
    <mergeCell ref="B25:B32"/>
    <mergeCell ref="A25:A32"/>
    <mergeCell ref="A60:A64"/>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12" zoomScale="96" zoomScaleNormal="96" workbookViewId="0">
      <selection activeCell="C26" sqref="C26"/>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5" t="s">
        <v>8349</v>
      </c>
      <c r="B1" s="2146"/>
      <c r="C1" s="2147"/>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8" t="s">
        <v>249</v>
      </c>
      <c r="B5" s="2148" t="s">
        <v>8383</v>
      </c>
      <c r="C5" s="1084" t="s">
        <v>250</v>
      </c>
      <c r="D5" s="2076"/>
      <c r="E5" s="1025"/>
    </row>
    <row r="6" spans="1:5" ht="51.75" thickBot="1" x14ac:dyDescent="0.25">
      <c r="A6" s="2149"/>
      <c r="B6" s="2149"/>
      <c r="C6" s="1099" t="s">
        <v>8995</v>
      </c>
      <c r="D6" s="2076"/>
      <c r="E6" s="1025"/>
    </row>
    <row r="7" spans="1:5" ht="51" x14ac:dyDescent="0.2">
      <c r="A7" s="2149"/>
      <c r="B7" s="2149"/>
      <c r="C7" s="1100" t="s">
        <v>251</v>
      </c>
      <c r="D7" s="2077">
        <v>0</v>
      </c>
      <c r="E7" s="1025"/>
    </row>
    <row r="8" spans="1:5" ht="39" thickBot="1" x14ac:dyDescent="0.25">
      <c r="A8" s="2149"/>
      <c r="B8" s="2149"/>
      <c r="C8" s="1100" t="s">
        <v>8370</v>
      </c>
      <c r="D8" s="2077">
        <v>0</v>
      </c>
      <c r="E8" s="1025" t="s">
        <v>252</v>
      </c>
    </row>
    <row r="9" spans="1:5" ht="26.25" thickBot="1" x14ac:dyDescent="0.25">
      <c r="A9" s="2149"/>
      <c r="B9" s="2149"/>
      <c r="C9" s="1099" t="s">
        <v>253</v>
      </c>
      <c r="D9" s="2076"/>
      <c r="E9" s="1025"/>
    </row>
    <row r="10" spans="1:5" ht="25.5" x14ac:dyDescent="0.2">
      <c r="A10" s="2149"/>
      <c r="B10" s="2149"/>
      <c r="C10" s="1101" t="s">
        <v>254</v>
      </c>
      <c r="D10" s="2077">
        <v>0</v>
      </c>
      <c r="E10" s="1025" t="s">
        <v>255</v>
      </c>
    </row>
    <row r="11" spans="1:5" ht="39" thickBot="1" x14ac:dyDescent="0.25">
      <c r="A11" s="2149"/>
      <c r="B11" s="2149"/>
      <c r="C11" s="1102" t="s">
        <v>256</v>
      </c>
      <c r="D11" s="2077">
        <v>0</v>
      </c>
      <c r="E11" s="1025" t="s">
        <v>257</v>
      </c>
    </row>
    <row r="12" spans="1:5" ht="51.75" thickBot="1" x14ac:dyDescent="0.25">
      <c r="A12" s="2150"/>
      <c r="B12" s="2150"/>
      <c r="C12" s="1103" t="s">
        <v>258</v>
      </c>
      <c r="D12" s="2078"/>
      <c r="E12" s="1025"/>
    </row>
    <row r="13" spans="1:5" ht="39" thickBot="1" x14ac:dyDescent="0.25">
      <c r="A13" s="2131" t="s">
        <v>259</v>
      </c>
      <c r="B13" s="2131" t="s">
        <v>260</v>
      </c>
      <c r="C13" s="653" t="s">
        <v>261</v>
      </c>
      <c r="D13" s="2076"/>
      <c r="E13" s="1025"/>
    </row>
    <row r="14" spans="1:5" x14ac:dyDescent="0.2">
      <c r="A14" s="2132"/>
      <c r="B14" s="2132"/>
      <c r="C14" s="2042" t="s">
        <v>8347</v>
      </c>
      <c r="D14" s="2077">
        <v>0</v>
      </c>
      <c r="E14" s="1025"/>
    </row>
    <row r="15" spans="1:5" x14ac:dyDescent="0.2">
      <c r="A15" s="2132"/>
      <c r="B15" s="2132"/>
      <c r="C15" s="1104" t="s">
        <v>262</v>
      </c>
      <c r="D15" s="2077">
        <v>0</v>
      </c>
      <c r="E15" s="1025"/>
    </row>
    <row r="16" spans="1:5" x14ac:dyDescent="0.2">
      <c r="A16" s="2132"/>
      <c r="B16" s="2132"/>
      <c r="C16" s="1104" t="s">
        <v>8348</v>
      </c>
      <c r="D16" s="2077">
        <v>0</v>
      </c>
      <c r="E16" s="1025"/>
    </row>
    <row r="17" spans="1:5" ht="13.5" thickBot="1" x14ac:dyDescent="0.25">
      <c r="A17" s="2132"/>
      <c r="B17" s="2132"/>
      <c r="C17" s="1105" t="s">
        <v>263</v>
      </c>
      <c r="D17" s="2077">
        <v>0</v>
      </c>
      <c r="E17" s="1025"/>
    </row>
    <row r="18" spans="1:5" ht="39" thickBot="1" x14ac:dyDescent="0.25">
      <c r="A18" s="2133"/>
      <c r="B18" s="2133"/>
      <c r="C18" s="1106" t="s">
        <v>264</v>
      </c>
      <c r="D18" s="2078"/>
      <c r="E18" s="1025"/>
    </row>
    <row r="19" spans="1:5" ht="26.25" thickBot="1" x14ac:dyDescent="0.25">
      <c r="A19" s="2131" t="s">
        <v>265</v>
      </c>
      <c r="B19" s="2131" t="s">
        <v>8384</v>
      </c>
      <c r="C19" s="653" t="s">
        <v>8632</v>
      </c>
      <c r="D19" s="2076"/>
      <c r="E19" s="1025"/>
    </row>
    <row r="20" spans="1:5" x14ac:dyDescent="0.2">
      <c r="A20" s="2132"/>
      <c r="B20" s="2132"/>
      <c r="C20" s="1107" t="s">
        <v>266</v>
      </c>
      <c r="D20" s="2077">
        <v>0</v>
      </c>
      <c r="E20" s="1025"/>
    </row>
    <row r="21" spans="1:5" ht="13.5" thickBot="1" x14ac:dyDescent="0.25">
      <c r="A21" s="2132"/>
      <c r="B21" s="2132"/>
      <c r="C21" s="1225" t="s">
        <v>267</v>
      </c>
      <c r="D21" s="2077">
        <v>0</v>
      </c>
      <c r="E21" s="1025"/>
    </row>
    <row r="22" spans="1:5" x14ac:dyDescent="0.2">
      <c r="A22" s="2132"/>
      <c r="B22" s="2132"/>
      <c r="C22" s="895" t="s">
        <v>268</v>
      </c>
      <c r="D22" s="2077">
        <v>0</v>
      </c>
      <c r="E22" s="1025"/>
    </row>
    <row r="23" spans="1:5" ht="13.5" thickBot="1" x14ac:dyDescent="0.25">
      <c r="A23" s="2132"/>
      <c r="B23" s="2132"/>
      <c r="C23" s="1225" t="s">
        <v>269</v>
      </c>
      <c r="D23" s="2079">
        <v>0</v>
      </c>
      <c r="E23" s="1025"/>
    </row>
    <row r="24" spans="1:5" x14ac:dyDescent="0.2">
      <c r="A24" s="2132"/>
      <c r="B24" s="2132"/>
      <c r="C24" s="895" t="s">
        <v>270</v>
      </c>
      <c r="D24" s="2080">
        <v>0</v>
      </c>
      <c r="E24" s="1025"/>
    </row>
    <row r="25" spans="1:5" ht="13.5" thickBot="1" x14ac:dyDescent="0.25">
      <c r="A25" s="2132"/>
      <c r="B25" s="2132"/>
      <c r="C25" s="1225" t="s">
        <v>271</v>
      </c>
      <c r="D25" s="2081">
        <v>0</v>
      </c>
      <c r="E25" s="1025"/>
    </row>
    <row r="26" spans="1:5" ht="13.5" thickBot="1" x14ac:dyDescent="0.25">
      <c r="A26" s="2132"/>
      <c r="B26" s="2132"/>
      <c r="C26" s="1110" t="s">
        <v>272</v>
      </c>
      <c r="D26" s="2082">
        <v>0</v>
      </c>
      <c r="E26" s="1025"/>
    </row>
    <row r="27" spans="1:5" ht="39" thickBot="1" x14ac:dyDescent="0.25">
      <c r="A27" s="2133"/>
      <c r="B27" s="2133"/>
      <c r="C27" s="1110" t="s">
        <v>273</v>
      </c>
      <c r="D27" s="2078"/>
      <c r="E27" s="1025"/>
    </row>
    <row r="28" spans="1:5" ht="26.25" thickBot="1" x14ac:dyDescent="0.25">
      <c r="A28" s="2131" t="s">
        <v>274</v>
      </c>
      <c r="B28" s="2131" t="s">
        <v>275</v>
      </c>
      <c r="C28" s="1084" t="s">
        <v>276</v>
      </c>
      <c r="D28" s="2076"/>
      <c r="E28" s="1025"/>
    </row>
    <row r="29" spans="1:5" x14ac:dyDescent="0.2">
      <c r="A29" s="2132"/>
      <c r="B29" s="2132"/>
      <c r="C29" s="1111" t="s">
        <v>277</v>
      </c>
      <c r="D29" s="2083">
        <v>0</v>
      </c>
      <c r="E29" s="1025"/>
    </row>
    <row r="30" spans="1:5" x14ac:dyDescent="0.2">
      <c r="A30" s="2132"/>
      <c r="B30" s="2132"/>
      <c r="C30" s="1112" t="s">
        <v>278</v>
      </c>
      <c r="D30" s="2083">
        <v>0</v>
      </c>
      <c r="E30" s="1025"/>
    </row>
    <row r="31" spans="1:5" ht="13.5" thickBot="1" x14ac:dyDescent="0.25">
      <c r="A31" s="2132"/>
      <c r="B31" s="2132"/>
      <c r="C31" s="1113" t="s">
        <v>279</v>
      </c>
      <c r="D31" s="2084">
        <v>0</v>
      </c>
      <c r="E31" s="1025"/>
    </row>
    <row r="32" spans="1:5" ht="26.25" thickBot="1" x14ac:dyDescent="0.25">
      <c r="A32" s="2133"/>
      <c r="B32" s="2133"/>
      <c r="C32" s="1114" t="s">
        <v>280</v>
      </c>
      <c r="D32" s="2078"/>
      <c r="E32" s="1025"/>
    </row>
    <row r="33" spans="1:5" ht="26.25" thickBot="1" x14ac:dyDescent="0.25">
      <c r="A33" s="2131" t="s">
        <v>281</v>
      </c>
      <c r="B33" s="2131" t="s">
        <v>8385</v>
      </c>
      <c r="C33" s="1115" t="s">
        <v>282</v>
      </c>
      <c r="D33" s="2076"/>
      <c r="E33" s="1025"/>
    </row>
    <row r="34" spans="1:5" x14ac:dyDescent="0.2">
      <c r="A34" s="2132"/>
      <c r="B34" s="2132"/>
      <c r="C34" s="2043" t="s">
        <v>283</v>
      </c>
      <c r="D34" s="2083">
        <v>0</v>
      </c>
      <c r="E34" s="1025"/>
    </row>
    <row r="35" spans="1:5" ht="13.5" thickBot="1" x14ac:dyDescent="0.25">
      <c r="A35" s="2132"/>
      <c r="B35" s="2132"/>
      <c r="C35" s="2044" t="s">
        <v>284</v>
      </c>
      <c r="D35" s="2084">
        <v>0</v>
      </c>
      <c r="E35" s="1025"/>
    </row>
    <row r="36" spans="1:5" x14ac:dyDescent="0.2">
      <c r="A36" s="2132"/>
      <c r="B36" s="2132"/>
      <c r="C36" s="2043" t="s">
        <v>285</v>
      </c>
      <c r="D36" s="2083">
        <v>0</v>
      </c>
      <c r="E36" s="1025"/>
    </row>
    <row r="37" spans="1:5" ht="13.5" thickBot="1" x14ac:dyDescent="0.25">
      <c r="A37" s="2132"/>
      <c r="B37" s="2132"/>
      <c r="C37" s="2044" t="s">
        <v>286</v>
      </c>
      <c r="D37" s="2084">
        <v>0</v>
      </c>
      <c r="E37" s="1025"/>
    </row>
    <row r="38" spans="1:5" x14ac:dyDescent="0.2">
      <c r="A38" s="2132"/>
      <c r="B38" s="2132"/>
      <c r="C38" s="2043" t="s">
        <v>287</v>
      </c>
      <c r="D38" s="2085">
        <v>0</v>
      </c>
      <c r="E38" s="1025"/>
    </row>
    <row r="39" spans="1:5" ht="13.5" thickBot="1" x14ac:dyDescent="0.25">
      <c r="A39" s="2132"/>
      <c r="B39" s="2132"/>
      <c r="C39" s="2044" t="s">
        <v>288</v>
      </c>
      <c r="D39" s="2084">
        <v>0</v>
      </c>
      <c r="E39" s="1025"/>
    </row>
    <row r="40" spans="1:5" x14ac:dyDescent="0.2">
      <c r="A40" s="2132"/>
      <c r="B40" s="2132"/>
      <c r="C40" s="895" t="s">
        <v>289</v>
      </c>
      <c r="D40" s="2083">
        <v>0</v>
      </c>
      <c r="E40" s="1025"/>
    </row>
    <row r="41" spans="1:5" ht="13.5" thickBot="1" x14ac:dyDescent="0.25">
      <c r="A41" s="2133"/>
      <c r="B41" s="2133"/>
      <c r="C41" s="897" t="s">
        <v>290</v>
      </c>
      <c r="D41" s="2083">
        <v>0</v>
      </c>
      <c r="E41" s="1025"/>
    </row>
    <row r="42" spans="1:5" ht="13.5" thickBot="1" x14ac:dyDescent="0.25">
      <c r="A42" s="2137" t="s">
        <v>291</v>
      </c>
      <c r="B42" s="2137" t="s">
        <v>292</v>
      </c>
      <c r="C42" s="1117" t="s">
        <v>293</v>
      </c>
      <c r="D42" s="2086">
        <v>0</v>
      </c>
      <c r="E42" s="1025"/>
    </row>
    <row r="43" spans="1:5" ht="26.25" thickBot="1" x14ac:dyDescent="0.25">
      <c r="A43" s="2137"/>
      <c r="B43" s="2137"/>
      <c r="C43" s="1084" t="s">
        <v>294</v>
      </c>
      <c r="D43" s="2087"/>
      <c r="E43" s="1025"/>
    </row>
    <row r="44" spans="1:5" x14ac:dyDescent="0.2">
      <c r="A44" s="2137"/>
      <c r="B44" s="2137"/>
      <c r="C44" s="1101" t="s">
        <v>295</v>
      </c>
      <c r="D44" s="2083">
        <v>0</v>
      </c>
      <c r="E44" s="1025"/>
    </row>
    <row r="45" spans="1:5" ht="13.5" thickBot="1" x14ac:dyDescent="0.25">
      <c r="A45" s="2137"/>
      <c r="B45" s="2137"/>
      <c r="C45" s="1102" t="s">
        <v>296</v>
      </c>
      <c r="D45" s="2083">
        <v>0</v>
      </c>
      <c r="E45" s="1025"/>
    </row>
    <row r="46" spans="1:5" ht="26.25" thickBot="1" x14ac:dyDescent="0.25">
      <c r="A46" s="2137"/>
      <c r="B46" s="2137"/>
      <c r="C46" s="1084" t="s">
        <v>297</v>
      </c>
      <c r="D46" s="2088"/>
      <c r="E46" s="1025"/>
    </row>
    <row r="47" spans="1:5" x14ac:dyDescent="0.2">
      <c r="A47" s="2137"/>
      <c r="B47" s="2137"/>
      <c r="C47" s="1101" t="s">
        <v>298</v>
      </c>
      <c r="D47" s="2083">
        <v>0</v>
      </c>
      <c r="E47" s="1025"/>
    </row>
    <row r="48" spans="1:5" ht="26.25" thickBot="1" x14ac:dyDescent="0.25">
      <c r="A48" s="2138"/>
      <c r="B48" s="2138"/>
      <c r="C48" s="1119" t="s">
        <v>299</v>
      </c>
      <c r="D48" s="2083">
        <v>0</v>
      </c>
      <c r="E48" s="1025"/>
    </row>
    <row r="49" spans="1:5" ht="13.5" thickBot="1" x14ac:dyDescent="0.25">
      <c r="A49" s="2142" t="s">
        <v>300</v>
      </c>
      <c r="B49" s="2139" t="s">
        <v>8386</v>
      </c>
      <c r="C49" s="1120" t="s">
        <v>301</v>
      </c>
      <c r="D49" s="2076"/>
      <c r="E49" s="1025"/>
    </row>
    <row r="50" spans="1:5" x14ac:dyDescent="0.2">
      <c r="A50" s="2143"/>
      <c r="B50" s="2140"/>
      <c r="C50" s="1121" t="s">
        <v>302</v>
      </c>
      <c r="D50" s="2083">
        <v>0</v>
      </c>
      <c r="E50" s="1025" t="s">
        <v>303</v>
      </c>
    </row>
    <row r="51" spans="1:5" x14ac:dyDescent="0.2">
      <c r="A51" s="2143"/>
      <c r="B51" s="2140"/>
      <c r="C51" s="1122" t="s">
        <v>304</v>
      </c>
      <c r="D51" s="2083">
        <v>0</v>
      </c>
      <c r="E51" s="1025"/>
    </row>
    <row r="52" spans="1:5" x14ac:dyDescent="0.2">
      <c r="A52" s="2143"/>
      <c r="B52" s="2140"/>
      <c r="C52" s="1122" t="s">
        <v>305</v>
      </c>
      <c r="D52" s="2083">
        <v>0</v>
      </c>
      <c r="E52" s="1025"/>
    </row>
    <row r="53" spans="1:5" x14ac:dyDescent="0.2">
      <c r="A53" s="2143"/>
      <c r="B53" s="2140"/>
      <c r="C53" s="1122" t="s">
        <v>306</v>
      </c>
      <c r="D53" s="2083">
        <v>0</v>
      </c>
      <c r="E53" s="1025"/>
    </row>
    <row r="54" spans="1:5" ht="13.5" thickBot="1" x14ac:dyDescent="0.25">
      <c r="A54" s="2143"/>
      <c r="B54" s="2140"/>
      <c r="C54" s="1123" t="s">
        <v>307</v>
      </c>
      <c r="D54" s="2083">
        <v>0</v>
      </c>
      <c r="E54" s="1025"/>
    </row>
    <row r="55" spans="1:5" ht="26.25" thickBot="1" x14ac:dyDescent="0.25">
      <c r="A55" s="2144"/>
      <c r="B55" s="2141"/>
      <c r="C55" s="1120" t="s">
        <v>308</v>
      </c>
      <c r="D55" s="2078"/>
      <c r="E55" s="1025"/>
    </row>
    <row r="56" spans="1:5" ht="13.5" thickBot="1" x14ac:dyDescent="0.25">
      <c r="A56" s="2131" t="s">
        <v>309</v>
      </c>
      <c r="B56" s="2131" t="s">
        <v>8680</v>
      </c>
      <c r="C56" s="653" t="s">
        <v>310</v>
      </c>
      <c r="D56" s="2078"/>
      <c r="E56" s="1025"/>
    </row>
    <row r="57" spans="1:5" x14ac:dyDescent="0.2">
      <c r="A57" s="2132"/>
      <c r="B57" s="2132"/>
      <c r="C57" s="1107" t="s">
        <v>311</v>
      </c>
      <c r="D57" s="2083">
        <v>0</v>
      </c>
      <c r="E57" s="1025"/>
    </row>
    <row r="58" spans="1:5" x14ac:dyDescent="0.2">
      <c r="A58" s="2132"/>
      <c r="B58" s="2132"/>
      <c r="C58" s="896" t="s">
        <v>312</v>
      </c>
      <c r="D58" s="2083">
        <v>0</v>
      </c>
      <c r="E58" s="1025"/>
    </row>
    <row r="59" spans="1:5" x14ac:dyDescent="0.2">
      <c r="A59" s="2132"/>
      <c r="B59" s="2132"/>
      <c r="C59" s="896" t="s">
        <v>313</v>
      </c>
      <c r="D59" s="2083">
        <v>0</v>
      </c>
      <c r="E59" s="1025"/>
    </row>
    <row r="60" spans="1:5" x14ac:dyDescent="0.2">
      <c r="A60" s="2132"/>
      <c r="B60" s="2132"/>
      <c r="C60" s="896" t="s">
        <v>314</v>
      </c>
      <c r="D60" s="2083">
        <v>0</v>
      </c>
      <c r="E60" s="1025"/>
    </row>
    <row r="61" spans="1:5" ht="13.5" thickBot="1" x14ac:dyDescent="0.25">
      <c r="A61" s="2132"/>
      <c r="B61" s="2132"/>
      <c r="C61" s="897" t="s">
        <v>315</v>
      </c>
      <c r="D61" s="2083">
        <v>0</v>
      </c>
      <c r="E61" s="1025"/>
    </row>
    <row r="62" spans="1:5" ht="51.75" thickBot="1" x14ac:dyDescent="0.25">
      <c r="A62" s="2133"/>
      <c r="B62" s="2133"/>
      <c r="C62" s="1115" t="s">
        <v>316</v>
      </c>
      <c r="D62" s="2078"/>
      <c r="E62" s="1025"/>
    </row>
    <row r="63" spans="1:5" s="3" customFormat="1" ht="26.25" thickBot="1" x14ac:dyDescent="0.25">
      <c r="A63" s="2131" t="s">
        <v>317</v>
      </c>
      <c r="B63" s="2131" t="s">
        <v>8543</v>
      </c>
      <c r="C63" s="653" t="s">
        <v>318</v>
      </c>
      <c r="D63" s="2076"/>
      <c r="E63" s="1124"/>
    </row>
    <row r="64" spans="1:5" s="3" customFormat="1" x14ac:dyDescent="0.2">
      <c r="A64" s="2132"/>
      <c r="B64" s="2132"/>
      <c r="C64" s="1107" t="s">
        <v>8357</v>
      </c>
      <c r="D64" s="2082">
        <v>0</v>
      </c>
      <c r="E64" s="1124" t="s">
        <v>319</v>
      </c>
    </row>
    <row r="65" spans="1:5" s="3" customFormat="1" x14ac:dyDescent="0.2">
      <c r="A65" s="2132"/>
      <c r="B65" s="2132"/>
      <c r="C65" s="896" t="s">
        <v>8358</v>
      </c>
      <c r="D65" s="2077">
        <v>0</v>
      </c>
      <c r="E65" s="1124"/>
    </row>
    <row r="66" spans="1:5" s="3" customFormat="1" x14ac:dyDescent="0.2">
      <c r="A66" s="2132"/>
      <c r="B66" s="2132"/>
      <c r="C66" s="896" t="s">
        <v>8359</v>
      </c>
      <c r="D66" s="2077">
        <v>0</v>
      </c>
      <c r="E66" s="1124"/>
    </row>
    <row r="67" spans="1:5" s="3" customFormat="1" ht="13.5" thickBot="1" x14ac:dyDescent="0.25">
      <c r="A67" s="2132"/>
      <c r="B67" s="2132"/>
      <c r="C67" s="897" t="s">
        <v>8360</v>
      </c>
      <c r="D67" s="2081">
        <v>0</v>
      </c>
      <c r="E67" s="1125"/>
    </row>
    <row r="68" spans="1:5" s="3" customFormat="1" ht="13.5" thickBot="1" x14ac:dyDescent="0.25">
      <c r="A68" s="2133"/>
      <c r="B68" s="2133"/>
      <c r="C68" s="1115" t="s">
        <v>320</v>
      </c>
      <c r="D68" s="2078"/>
      <c r="E68" s="1125"/>
    </row>
    <row r="69" spans="1:5" ht="26.25" thickBot="1" x14ac:dyDescent="0.25">
      <c r="A69" s="2134" t="s">
        <v>321</v>
      </c>
      <c r="B69" s="2134" t="s">
        <v>322</v>
      </c>
      <c r="C69" s="653" t="s">
        <v>9159</v>
      </c>
      <c r="D69" s="2076"/>
      <c r="E69" s="1025"/>
    </row>
    <row r="70" spans="1:5" x14ac:dyDescent="0.2">
      <c r="A70" s="2135"/>
      <c r="B70" s="2135"/>
      <c r="C70" s="1107" t="s">
        <v>323</v>
      </c>
      <c r="D70" s="2084">
        <v>0</v>
      </c>
      <c r="E70" s="1025"/>
    </row>
    <row r="71" spans="1:5" ht="13.5" thickBot="1" x14ac:dyDescent="0.25">
      <c r="A71" s="2136"/>
      <c r="B71" s="2136"/>
      <c r="C71" s="897" t="s">
        <v>324</v>
      </c>
      <c r="D71" s="2084">
        <v>0</v>
      </c>
      <c r="E71" s="1025"/>
    </row>
    <row r="72" spans="1:5" ht="13.5" thickBot="1" x14ac:dyDescent="0.25">
      <c r="A72" s="2132" t="s">
        <v>325</v>
      </c>
      <c r="B72" s="2132" t="s">
        <v>326</v>
      </c>
      <c r="C72" s="1115" t="s">
        <v>327</v>
      </c>
      <c r="D72" s="2076"/>
      <c r="E72" s="1025"/>
    </row>
    <row r="73" spans="1:5" x14ac:dyDescent="0.2">
      <c r="A73" s="2132"/>
      <c r="B73" s="2132"/>
      <c r="C73" s="1107" t="s">
        <v>328</v>
      </c>
      <c r="D73" s="2083">
        <v>0</v>
      </c>
      <c r="E73" s="1025"/>
    </row>
    <row r="74" spans="1:5" ht="25.5" x14ac:dyDescent="0.2">
      <c r="A74" s="2132"/>
      <c r="B74" s="2132"/>
      <c r="C74" s="896" t="s">
        <v>329</v>
      </c>
      <c r="D74" s="2083">
        <v>0</v>
      </c>
      <c r="E74" s="1025"/>
    </row>
    <row r="75" spans="1:5" x14ac:dyDescent="0.2">
      <c r="A75" s="2132"/>
      <c r="B75" s="2132"/>
      <c r="C75" s="896" t="s">
        <v>330</v>
      </c>
      <c r="D75" s="2083">
        <v>0</v>
      </c>
      <c r="E75" s="1025"/>
    </row>
    <row r="76" spans="1:5" x14ac:dyDescent="0.2">
      <c r="A76" s="2132"/>
      <c r="B76" s="2132"/>
      <c r="C76" s="896" t="s">
        <v>331</v>
      </c>
      <c r="D76" s="2083">
        <v>0</v>
      </c>
      <c r="E76" s="1025"/>
    </row>
    <row r="77" spans="1:5" ht="13.5" thickBot="1" x14ac:dyDescent="0.25">
      <c r="A77" s="2132"/>
      <c r="B77" s="2132"/>
      <c r="C77" s="1108" t="s">
        <v>332</v>
      </c>
      <c r="D77" s="2083">
        <v>0</v>
      </c>
      <c r="E77" s="1025"/>
    </row>
    <row r="78" spans="1:5" ht="26.25" thickBot="1" x14ac:dyDescent="0.25">
      <c r="A78" s="2133"/>
      <c r="B78" s="2133"/>
      <c r="C78" s="653" t="s">
        <v>333</v>
      </c>
      <c r="D78" s="2078"/>
      <c r="E78" s="1025"/>
    </row>
    <row r="79" spans="1:5" ht="26.25" thickBot="1" x14ac:dyDescent="0.25">
      <c r="A79" s="2134" t="s">
        <v>334</v>
      </c>
      <c r="B79" s="2134" t="s">
        <v>335</v>
      </c>
      <c r="C79" s="653" t="s">
        <v>336</v>
      </c>
      <c r="D79" s="2076"/>
      <c r="E79" s="1025"/>
    </row>
    <row r="80" spans="1:5" x14ac:dyDescent="0.2">
      <c r="A80" s="2135"/>
      <c r="B80" s="2135"/>
      <c r="C80" s="1107" t="s">
        <v>337</v>
      </c>
      <c r="D80" s="2083">
        <v>0</v>
      </c>
      <c r="E80" s="1025"/>
    </row>
    <row r="81" spans="1:5" x14ac:dyDescent="0.2">
      <c r="A81" s="2135"/>
      <c r="B81" s="2135"/>
      <c r="C81" s="896" t="s">
        <v>338</v>
      </c>
      <c r="D81" s="2083">
        <v>0</v>
      </c>
      <c r="E81" s="1025"/>
    </row>
    <row r="82" spans="1:5" x14ac:dyDescent="0.2">
      <c r="A82" s="2135"/>
      <c r="B82" s="2135"/>
      <c r="C82" s="896" t="s">
        <v>339</v>
      </c>
      <c r="D82" s="2083">
        <v>0</v>
      </c>
      <c r="E82" s="1025"/>
    </row>
    <row r="83" spans="1:5" ht="13.5" thickBot="1" x14ac:dyDescent="0.25">
      <c r="A83" s="2136"/>
      <c r="B83" s="2136"/>
      <c r="C83" s="897" t="s">
        <v>340</v>
      </c>
      <c r="D83" s="2083">
        <v>0</v>
      </c>
      <c r="E83" s="1025"/>
    </row>
    <row r="84" spans="1:5" ht="26.25" thickBot="1" x14ac:dyDescent="0.25">
      <c r="A84" s="2131" t="s">
        <v>341</v>
      </c>
      <c r="B84" s="2131" t="s">
        <v>342</v>
      </c>
      <c r="C84" s="653" t="s">
        <v>343</v>
      </c>
      <c r="D84" s="2078">
        <v>0</v>
      </c>
      <c r="E84" s="1025"/>
    </row>
    <row r="85" spans="1:5" x14ac:dyDescent="0.2">
      <c r="A85" s="2132"/>
      <c r="B85" s="2132"/>
      <c r="C85" s="1107" t="s">
        <v>344</v>
      </c>
      <c r="D85" s="2083">
        <v>0</v>
      </c>
      <c r="E85" s="1025"/>
    </row>
    <row r="86" spans="1:5" x14ac:dyDescent="0.2">
      <c r="A86" s="2132"/>
      <c r="B86" s="2132"/>
      <c r="C86" s="896" t="s">
        <v>345</v>
      </c>
      <c r="D86" s="2083">
        <v>0</v>
      </c>
      <c r="E86" s="1025"/>
    </row>
    <row r="87" spans="1:5" x14ac:dyDescent="0.2">
      <c r="A87" s="2132"/>
      <c r="B87" s="2132"/>
      <c r="C87" s="896" t="s">
        <v>346</v>
      </c>
      <c r="D87" s="2083">
        <v>0</v>
      </c>
      <c r="E87" s="1025"/>
    </row>
    <row r="88" spans="1:5" x14ac:dyDescent="0.2">
      <c r="A88" s="2132"/>
      <c r="B88" s="2132"/>
      <c r="C88" s="896" t="s">
        <v>347</v>
      </c>
      <c r="D88" s="2083">
        <v>0</v>
      </c>
      <c r="E88" s="1025"/>
    </row>
    <row r="89" spans="1:5" ht="13.5" thickBot="1" x14ac:dyDescent="0.25">
      <c r="A89" s="2132"/>
      <c r="B89" s="2132"/>
      <c r="C89" s="897" t="s">
        <v>348</v>
      </c>
      <c r="D89" s="2083">
        <v>0</v>
      </c>
      <c r="E89" s="1025"/>
    </row>
    <row r="90" spans="1:5" ht="13.5" thickBot="1" x14ac:dyDescent="0.25">
      <c r="A90" s="2133"/>
      <c r="B90" s="2133"/>
      <c r="C90" s="1115" t="s">
        <v>349</v>
      </c>
      <c r="D90" s="2078"/>
      <c r="E90" s="1025"/>
    </row>
    <row r="91" spans="1:5" ht="26.25" thickBot="1" x14ac:dyDescent="0.25">
      <c r="A91" s="2142" t="s">
        <v>350</v>
      </c>
      <c r="B91" s="2139" t="s">
        <v>8387</v>
      </c>
      <c r="C91" s="1128" t="s">
        <v>351</v>
      </c>
      <c r="D91" s="2076"/>
      <c r="E91" s="1025"/>
    </row>
    <row r="92" spans="1:5" x14ac:dyDescent="0.2">
      <c r="A92" s="2143"/>
      <c r="B92" s="2140"/>
      <c r="C92" s="1121" t="s">
        <v>352</v>
      </c>
      <c r="D92" s="2083">
        <v>0</v>
      </c>
      <c r="E92" s="1025"/>
    </row>
    <row r="93" spans="1:5" ht="13.5" thickBot="1" x14ac:dyDescent="0.25">
      <c r="A93" s="2143"/>
      <c r="B93" s="2140"/>
      <c r="C93" s="1122" t="s">
        <v>304</v>
      </c>
      <c r="D93" s="2089">
        <v>0</v>
      </c>
      <c r="E93" s="1025"/>
    </row>
    <row r="94" spans="1:5" ht="13.5" thickBot="1" x14ac:dyDescent="0.25">
      <c r="A94" s="2143"/>
      <c r="B94" s="2140"/>
      <c r="C94" s="1821" t="s">
        <v>305</v>
      </c>
      <c r="D94" s="2090">
        <v>0</v>
      </c>
      <c r="E94" s="1025"/>
    </row>
    <row r="95" spans="1:5" x14ac:dyDescent="0.2">
      <c r="A95" s="2143"/>
      <c r="B95" s="2140"/>
      <c r="C95" s="1122" t="s">
        <v>306</v>
      </c>
      <c r="D95" s="2091">
        <v>0</v>
      </c>
      <c r="E95" s="1025"/>
    </row>
    <row r="96" spans="1:5" ht="13.5" thickBot="1" x14ac:dyDescent="0.25">
      <c r="A96" s="2143"/>
      <c r="B96" s="2140"/>
      <c r="C96" s="1123" t="s">
        <v>307</v>
      </c>
      <c r="D96" s="2083">
        <v>0</v>
      </c>
      <c r="E96" s="1025"/>
    </row>
    <row r="97" spans="1:5" ht="13.5" thickBot="1" x14ac:dyDescent="0.25">
      <c r="A97" s="2144"/>
      <c r="B97" s="2141"/>
      <c r="C97" s="1120" t="s">
        <v>353</v>
      </c>
      <c r="D97" s="2078"/>
      <c r="E97" s="1025"/>
    </row>
    <row r="98" spans="1:5" ht="13.5" thickBot="1" x14ac:dyDescent="0.25">
      <c r="A98" s="2131" t="s">
        <v>354</v>
      </c>
      <c r="B98" s="2131" t="s">
        <v>355</v>
      </c>
      <c r="C98" s="1129" t="s">
        <v>356</v>
      </c>
      <c r="D98" s="2078">
        <v>0</v>
      </c>
      <c r="E98" s="1025"/>
    </row>
    <row r="99" spans="1:5" x14ac:dyDescent="0.2">
      <c r="A99" s="2132"/>
      <c r="B99" s="2132"/>
      <c r="C99" s="1107" t="s">
        <v>357</v>
      </c>
      <c r="D99" s="2083">
        <v>0</v>
      </c>
      <c r="E99" s="1025"/>
    </row>
    <row r="100" spans="1:5" x14ac:dyDescent="0.2">
      <c r="A100" s="2132"/>
      <c r="B100" s="2132"/>
      <c r="C100" s="896" t="s">
        <v>358</v>
      </c>
      <c r="D100" s="2083">
        <v>0</v>
      </c>
      <c r="E100" s="1025"/>
    </row>
    <row r="101" spans="1:5" ht="13.5" thickBot="1" x14ac:dyDescent="0.25">
      <c r="A101" s="2132"/>
      <c r="B101" s="2132"/>
      <c r="C101" s="897" t="s">
        <v>359</v>
      </c>
      <c r="D101" s="2083">
        <v>0</v>
      </c>
      <c r="E101" s="1025"/>
    </row>
    <row r="102" spans="1:5" ht="13.5" thickBot="1" x14ac:dyDescent="0.25">
      <c r="A102" s="2133"/>
      <c r="B102" s="2133"/>
      <c r="C102" s="1115" t="s">
        <v>360</v>
      </c>
      <c r="D102" s="2078"/>
      <c r="E102" s="1025"/>
    </row>
    <row r="103" spans="1:5" ht="13.5" thickBot="1" x14ac:dyDescent="0.25">
      <c r="A103" s="2131" t="s">
        <v>361</v>
      </c>
      <c r="B103" s="2131" t="s">
        <v>362</v>
      </c>
      <c r="C103" s="653" t="s">
        <v>363</v>
      </c>
      <c r="D103" s="2076"/>
      <c r="E103" s="1025"/>
    </row>
    <row r="104" spans="1:5" x14ac:dyDescent="0.2">
      <c r="A104" s="2132"/>
      <c r="B104" s="2132"/>
      <c r="C104" s="1130" t="s">
        <v>364</v>
      </c>
      <c r="D104" s="2083">
        <v>0</v>
      </c>
      <c r="E104" s="1025"/>
    </row>
    <row r="105" spans="1:5" ht="13.5" thickBot="1" x14ac:dyDescent="0.25">
      <c r="A105" s="2132"/>
      <c r="B105" s="2132"/>
      <c r="C105" s="897" t="s">
        <v>365</v>
      </c>
      <c r="D105" s="2083">
        <v>0</v>
      </c>
      <c r="E105" s="1025"/>
    </row>
    <row r="106" spans="1:5" ht="13.5" thickBot="1" x14ac:dyDescent="0.25">
      <c r="A106" s="2133"/>
      <c r="B106" s="2133"/>
      <c r="C106" s="1115" t="s">
        <v>366</v>
      </c>
      <c r="D106" s="2078"/>
      <c r="E106" s="1025"/>
    </row>
    <row r="107" spans="1:5" ht="26.25" thickBot="1" x14ac:dyDescent="0.25">
      <c r="A107" s="2131" t="s">
        <v>367</v>
      </c>
      <c r="B107" s="2131" t="s">
        <v>368</v>
      </c>
      <c r="C107" s="653" t="s">
        <v>369</v>
      </c>
      <c r="D107" s="2076"/>
      <c r="E107" s="1025"/>
    </row>
    <row r="108" spans="1:5" ht="25.5" x14ac:dyDescent="0.2">
      <c r="A108" s="2132"/>
      <c r="B108" s="2132"/>
      <c r="C108" s="1107" t="s">
        <v>370</v>
      </c>
      <c r="D108" s="2083">
        <v>0</v>
      </c>
      <c r="E108" s="1025"/>
    </row>
    <row r="109" spans="1:5" ht="25.5" x14ac:dyDescent="0.2">
      <c r="A109" s="2132"/>
      <c r="B109" s="2132"/>
      <c r="C109" s="896" t="s">
        <v>371</v>
      </c>
      <c r="D109" s="2083">
        <v>0</v>
      </c>
      <c r="E109" s="1025"/>
    </row>
    <row r="110" spans="1:5" x14ac:dyDescent="0.2">
      <c r="A110" s="2132"/>
      <c r="B110" s="2132"/>
      <c r="C110" s="896" t="s">
        <v>372</v>
      </c>
      <c r="D110" s="2083">
        <v>0</v>
      </c>
      <c r="E110" s="1025"/>
    </row>
    <row r="111" spans="1:5" x14ac:dyDescent="0.2">
      <c r="A111" s="2132"/>
      <c r="B111" s="2132"/>
      <c r="C111" s="896" t="s">
        <v>373</v>
      </c>
      <c r="D111" s="2083">
        <v>0</v>
      </c>
      <c r="E111" s="1025"/>
    </row>
    <row r="112" spans="1:5" ht="13.5" thickBot="1" x14ac:dyDescent="0.25">
      <c r="A112" s="2132"/>
      <c r="B112" s="2132"/>
      <c r="C112" s="897" t="s">
        <v>374</v>
      </c>
      <c r="D112" s="2077">
        <v>0</v>
      </c>
      <c r="E112" s="1025"/>
    </row>
    <row r="113" spans="1:5" ht="51.75" thickBot="1" x14ac:dyDescent="0.25">
      <c r="A113" s="2133"/>
      <c r="B113" s="2133"/>
      <c r="C113" s="1115" t="s">
        <v>375</v>
      </c>
      <c r="D113" s="2078"/>
      <c r="E113" s="1025"/>
    </row>
    <row r="114" spans="1:5" ht="13.5" thickBot="1" x14ac:dyDescent="0.25">
      <c r="A114" s="2134" t="s">
        <v>376</v>
      </c>
      <c r="B114" s="2134" t="s">
        <v>377</v>
      </c>
      <c r="C114" s="653" t="s">
        <v>378</v>
      </c>
      <c r="D114" s="2076"/>
      <c r="E114" s="1025"/>
    </row>
    <row r="115" spans="1:5" x14ac:dyDescent="0.2">
      <c r="A115" s="2135"/>
      <c r="B115" s="2135"/>
      <c r="C115" s="1107" t="s">
        <v>379</v>
      </c>
      <c r="D115" s="2083">
        <v>0</v>
      </c>
      <c r="E115" s="1025"/>
    </row>
    <row r="116" spans="1:5" x14ac:dyDescent="0.2">
      <c r="A116" s="2135"/>
      <c r="B116" s="2135"/>
      <c r="C116" s="896" t="s">
        <v>380</v>
      </c>
      <c r="D116" s="2083">
        <v>0</v>
      </c>
      <c r="E116" s="1025"/>
    </row>
    <row r="117" spans="1:5" ht="13.5" thickBot="1" x14ac:dyDescent="0.25">
      <c r="A117" s="2136"/>
      <c r="B117" s="2136"/>
      <c r="C117" s="897" t="s">
        <v>381</v>
      </c>
      <c r="D117" s="2083">
        <v>0</v>
      </c>
      <c r="E117" s="1025"/>
    </row>
    <row r="118" spans="1:5" ht="39" thickBot="1" x14ac:dyDescent="0.25">
      <c r="A118" s="2131" t="s">
        <v>382</v>
      </c>
      <c r="B118" s="2131" t="s">
        <v>8388</v>
      </c>
      <c r="C118" s="653" t="s">
        <v>383</v>
      </c>
      <c r="D118" s="2076"/>
      <c r="E118" s="1025"/>
    </row>
    <row r="119" spans="1:5" x14ac:dyDescent="0.2">
      <c r="A119" s="2132"/>
      <c r="B119" s="2132"/>
      <c r="C119" s="1107" t="s">
        <v>384</v>
      </c>
      <c r="D119" s="2092">
        <v>0</v>
      </c>
      <c r="E119" s="1025"/>
    </row>
    <row r="120" spans="1:5" x14ac:dyDescent="0.2">
      <c r="A120" s="2132"/>
      <c r="B120" s="2132"/>
      <c r="C120" s="896" t="s">
        <v>385</v>
      </c>
      <c r="D120" s="2092">
        <v>0</v>
      </c>
      <c r="E120" s="1025"/>
    </row>
    <row r="121" spans="1:5" x14ac:dyDescent="0.2">
      <c r="A121" s="2132"/>
      <c r="B121" s="2132"/>
      <c r="C121" s="896" t="s">
        <v>386</v>
      </c>
      <c r="D121" s="2092">
        <v>0</v>
      </c>
      <c r="E121" s="1025"/>
    </row>
    <row r="122" spans="1:5" x14ac:dyDescent="0.2">
      <c r="A122" s="2132"/>
      <c r="B122" s="2132"/>
      <c r="C122" s="1108" t="s">
        <v>387</v>
      </c>
      <c r="D122" s="2077">
        <v>0</v>
      </c>
      <c r="E122" s="1025"/>
    </row>
    <row r="123" spans="1:5" ht="13.5" thickBot="1" x14ac:dyDescent="0.25">
      <c r="A123" s="2133"/>
      <c r="B123" s="2133"/>
      <c r="C123" s="897" t="s">
        <v>388</v>
      </c>
      <c r="D123" s="2093">
        <v>0</v>
      </c>
      <c r="E123" s="1025"/>
    </row>
    <row r="124" spans="1:5" ht="39" thickBot="1" x14ac:dyDescent="0.25">
      <c r="A124" s="2134" t="s">
        <v>389</v>
      </c>
      <c r="B124" s="2134" t="s">
        <v>8389</v>
      </c>
      <c r="C124" s="1115" t="s">
        <v>390</v>
      </c>
      <c r="D124" s="2076"/>
      <c r="E124" s="1025"/>
    </row>
    <row r="125" spans="1:5" x14ac:dyDescent="0.2">
      <c r="A125" s="2135"/>
      <c r="B125" s="2135"/>
      <c r="C125" s="1107" t="s">
        <v>391</v>
      </c>
      <c r="D125" s="2084">
        <v>0</v>
      </c>
      <c r="E125" s="1025"/>
    </row>
    <row r="126" spans="1:5" x14ac:dyDescent="0.2">
      <c r="A126" s="2135"/>
      <c r="B126" s="2135"/>
      <c r="C126" s="896" t="s">
        <v>392</v>
      </c>
      <c r="D126" s="2084">
        <v>0</v>
      </c>
      <c r="E126" s="1025"/>
    </row>
    <row r="127" spans="1:5" ht="13.5" thickBot="1" x14ac:dyDescent="0.25">
      <c r="A127" s="2136"/>
      <c r="B127" s="2136"/>
      <c r="C127" s="1108" t="s">
        <v>393</v>
      </c>
      <c r="D127" s="2084">
        <v>0</v>
      </c>
      <c r="E127" s="1025"/>
    </row>
    <row r="128" spans="1:5" ht="13.5" thickBot="1" x14ac:dyDescent="0.25">
      <c r="A128" s="2131" t="s">
        <v>394</v>
      </c>
      <c r="B128" s="2131" t="s">
        <v>8390</v>
      </c>
      <c r="C128" s="653" t="s">
        <v>9106</v>
      </c>
      <c r="D128" s="2076"/>
      <c r="E128" s="1025"/>
    </row>
    <row r="129" spans="1:5" ht="25.5" x14ac:dyDescent="0.2">
      <c r="A129" s="2132"/>
      <c r="B129" s="2132"/>
      <c r="C129" s="1107" t="s">
        <v>395</v>
      </c>
      <c r="D129" s="2077">
        <v>0</v>
      </c>
      <c r="E129" s="1025"/>
    </row>
    <row r="130" spans="1:5" ht="25.5" x14ac:dyDescent="0.2">
      <c r="A130" s="2132"/>
      <c r="B130" s="2132"/>
      <c r="C130" s="896" t="s">
        <v>396</v>
      </c>
      <c r="D130" s="2077">
        <v>0</v>
      </c>
      <c r="E130" s="1025"/>
    </row>
    <row r="131" spans="1:5" x14ac:dyDescent="0.2">
      <c r="A131" s="2132"/>
      <c r="B131" s="2132"/>
      <c r="C131" s="896" t="s">
        <v>397</v>
      </c>
      <c r="D131" s="2077">
        <v>0</v>
      </c>
      <c r="E131" s="1025"/>
    </row>
    <row r="132" spans="1:5" x14ac:dyDescent="0.2">
      <c r="A132" s="2132"/>
      <c r="B132" s="2132"/>
      <c r="C132" s="896" t="s">
        <v>398</v>
      </c>
      <c r="D132" s="2077">
        <v>0</v>
      </c>
      <c r="E132" s="1025"/>
    </row>
    <row r="133" spans="1:5" ht="26.25" thickBot="1" x14ac:dyDescent="0.25">
      <c r="A133" s="2132"/>
      <c r="B133" s="2132"/>
      <c r="C133" s="1108" t="s">
        <v>399</v>
      </c>
      <c r="D133" s="2077">
        <v>0</v>
      </c>
      <c r="E133" s="1025"/>
    </row>
    <row r="134" spans="1:5" ht="26.25" thickBot="1" x14ac:dyDescent="0.25">
      <c r="A134" s="2133"/>
      <c r="B134" s="2133"/>
      <c r="C134" s="653" t="s">
        <v>400</v>
      </c>
      <c r="D134" s="2078"/>
      <c r="E134" s="1025"/>
    </row>
    <row r="135" spans="1:5" ht="13.5" thickBot="1" x14ac:dyDescent="0.25">
      <c r="A135" s="2131" t="s">
        <v>401</v>
      </c>
      <c r="B135" s="2131" t="s">
        <v>8391</v>
      </c>
      <c r="C135" s="653" t="s">
        <v>402</v>
      </c>
      <c r="D135" s="2076"/>
      <c r="E135" s="1025"/>
    </row>
    <row r="136" spans="1:5" x14ac:dyDescent="0.2">
      <c r="A136" s="2132"/>
      <c r="B136" s="2132"/>
      <c r="C136" s="1107" t="s">
        <v>403</v>
      </c>
      <c r="D136" s="2094">
        <v>0</v>
      </c>
      <c r="E136" s="1025" t="s">
        <v>404</v>
      </c>
    </row>
    <row r="137" spans="1:5" x14ac:dyDescent="0.2">
      <c r="A137" s="2132"/>
      <c r="B137" s="2132"/>
      <c r="C137" s="896" t="s">
        <v>405</v>
      </c>
      <c r="D137" s="2085">
        <v>0</v>
      </c>
      <c r="E137" s="1025"/>
    </row>
    <row r="138" spans="1:5" x14ac:dyDescent="0.2">
      <c r="A138" s="2132"/>
      <c r="B138" s="2132"/>
      <c r="C138" s="896" t="s">
        <v>406</v>
      </c>
      <c r="D138" s="2085">
        <v>0</v>
      </c>
      <c r="E138" s="1025"/>
    </row>
    <row r="139" spans="1:5" x14ac:dyDescent="0.2">
      <c r="A139" s="2132"/>
      <c r="B139" s="2132"/>
      <c r="C139" s="896" t="s">
        <v>407</v>
      </c>
      <c r="D139" s="2085">
        <v>0</v>
      </c>
      <c r="E139" s="1025"/>
    </row>
    <row r="140" spans="1:5" ht="13.5" thickBot="1" x14ac:dyDescent="0.25">
      <c r="A140" s="2132"/>
      <c r="B140" s="2132"/>
      <c r="C140" s="897" t="s">
        <v>408</v>
      </c>
      <c r="D140" s="2093">
        <v>0</v>
      </c>
      <c r="E140" s="1025"/>
    </row>
    <row r="141" spans="1:5" ht="64.5" thickBot="1" x14ac:dyDescent="0.25">
      <c r="A141" s="2133"/>
      <c r="B141" s="2133"/>
      <c r="C141" s="1115" t="s">
        <v>409</v>
      </c>
      <c r="D141" s="2078"/>
      <c r="E141" s="1025"/>
    </row>
    <row r="142" spans="1:5" ht="39" thickBot="1" x14ac:dyDescent="0.25">
      <c r="A142" s="2131" t="s">
        <v>410</v>
      </c>
      <c r="B142" s="2131" t="s">
        <v>8392</v>
      </c>
      <c r="C142" s="653" t="s">
        <v>411</v>
      </c>
      <c r="D142" s="2076"/>
      <c r="E142" s="1025"/>
    </row>
    <row r="143" spans="1:5" x14ac:dyDescent="0.2">
      <c r="A143" s="2132"/>
      <c r="B143" s="2132"/>
      <c r="C143" s="1107" t="s">
        <v>412</v>
      </c>
      <c r="D143" s="2077">
        <v>0</v>
      </c>
      <c r="E143" s="1025" t="s">
        <v>413</v>
      </c>
    </row>
    <row r="144" spans="1:5" x14ac:dyDescent="0.2">
      <c r="A144" s="2132"/>
      <c r="B144" s="2132"/>
      <c r="C144" s="896" t="s">
        <v>414</v>
      </c>
      <c r="D144" s="2077">
        <v>0</v>
      </c>
      <c r="E144" s="1025"/>
    </row>
    <row r="145" spans="1:5" x14ac:dyDescent="0.2">
      <c r="A145" s="2132"/>
      <c r="B145" s="2132"/>
      <c r="C145" s="896" t="s">
        <v>406</v>
      </c>
      <c r="D145" s="2077">
        <v>0</v>
      </c>
      <c r="E145" s="1025"/>
    </row>
    <row r="146" spans="1:5" x14ac:dyDescent="0.2">
      <c r="A146" s="2132"/>
      <c r="B146" s="2132"/>
      <c r="C146" s="896" t="s">
        <v>407</v>
      </c>
      <c r="D146" s="2077">
        <v>0</v>
      </c>
      <c r="E146" s="1025"/>
    </row>
    <row r="147" spans="1:5" ht="13.5" thickBot="1" x14ac:dyDescent="0.25">
      <c r="A147" s="2132"/>
      <c r="B147" s="2132"/>
      <c r="C147" s="897" t="s">
        <v>415</v>
      </c>
      <c r="D147" s="2077">
        <v>0</v>
      </c>
      <c r="E147" s="1025" t="s">
        <v>416</v>
      </c>
    </row>
    <row r="148" spans="1:5" ht="39" thickBot="1" x14ac:dyDescent="0.25">
      <c r="A148" s="2133"/>
      <c r="B148" s="2133"/>
      <c r="C148" s="1115" t="s">
        <v>417</v>
      </c>
      <c r="D148" s="2078"/>
      <c r="E148" s="1025"/>
    </row>
    <row r="149" spans="1:5" ht="26.25" thickBot="1" x14ac:dyDescent="0.25">
      <c r="A149" s="2131" t="s">
        <v>418</v>
      </c>
      <c r="B149" s="2139" t="s">
        <v>8393</v>
      </c>
      <c r="C149" s="1120" t="s">
        <v>419</v>
      </c>
      <c r="D149" s="2076"/>
      <c r="E149" s="1025"/>
    </row>
    <row r="150" spans="1:5" x14ac:dyDescent="0.2">
      <c r="A150" s="2132"/>
      <c r="B150" s="2140"/>
      <c r="C150" s="1121" t="s">
        <v>420</v>
      </c>
      <c r="D150" s="2085">
        <v>0</v>
      </c>
      <c r="E150" s="1025"/>
    </row>
    <row r="151" spans="1:5" x14ac:dyDescent="0.2">
      <c r="A151" s="2132"/>
      <c r="B151" s="2140"/>
      <c r="C151" s="1122" t="s">
        <v>421</v>
      </c>
      <c r="D151" s="2085">
        <v>0</v>
      </c>
      <c r="E151" s="1025"/>
    </row>
    <row r="152" spans="1:5" x14ac:dyDescent="0.2">
      <c r="A152" s="2132"/>
      <c r="B152" s="2140"/>
      <c r="C152" s="1122" t="s">
        <v>422</v>
      </c>
      <c r="D152" s="2085">
        <v>0</v>
      </c>
      <c r="E152" s="1025"/>
    </row>
    <row r="153" spans="1:5" x14ac:dyDescent="0.2">
      <c r="A153" s="2132"/>
      <c r="B153" s="2140"/>
      <c r="C153" s="1122" t="s">
        <v>423</v>
      </c>
      <c r="D153" s="2085">
        <v>0</v>
      </c>
      <c r="E153" s="1025"/>
    </row>
    <row r="154" spans="1:5" ht="25.5" x14ac:dyDescent="0.2">
      <c r="A154" s="2132"/>
      <c r="B154" s="2140"/>
      <c r="C154" s="1122" t="s">
        <v>424</v>
      </c>
      <c r="D154" s="2085">
        <v>0</v>
      </c>
      <c r="E154" s="1025" t="s">
        <v>425</v>
      </c>
    </row>
    <row r="155" spans="1:5" ht="26.25" thickBot="1" x14ac:dyDescent="0.25">
      <c r="A155" s="2132"/>
      <c r="B155" s="2140"/>
      <c r="C155" s="1225" t="s">
        <v>8993</v>
      </c>
      <c r="D155" s="2085">
        <v>0</v>
      </c>
      <c r="E155" s="1025" t="s">
        <v>426</v>
      </c>
    </row>
    <row r="156" spans="1:5" ht="39" thickBot="1" x14ac:dyDescent="0.25">
      <c r="A156" s="2133"/>
      <c r="B156" s="2141"/>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1" t="s">
        <v>430</v>
      </c>
      <c r="B158" s="2131" t="s">
        <v>8394</v>
      </c>
      <c r="C158" s="653" t="s">
        <v>431</v>
      </c>
      <c r="D158" s="2076"/>
      <c r="E158" s="1025"/>
    </row>
    <row r="159" spans="1:5" x14ac:dyDescent="0.2">
      <c r="A159" s="2132"/>
      <c r="B159" s="2132"/>
      <c r="C159" s="1107" t="s">
        <v>432</v>
      </c>
      <c r="D159" s="2077">
        <v>0</v>
      </c>
      <c r="E159" s="1025"/>
    </row>
    <row r="160" spans="1:5" x14ac:dyDescent="0.2">
      <c r="A160" s="2132"/>
      <c r="B160" s="2132"/>
      <c r="C160" s="896" t="s">
        <v>433</v>
      </c>
      <c r="D160" s="2077">
        <v>0</v>
      </c>
      <c r="E160" s="1025"/>
    </row>
    <row r="161" spans="1:5" x14ac:dyDescent="0.2">
      <c r="A161" s="2132"/>
      <c r="B161" s="2132"/>
      <c r="C161" s="896" t="s">
        <v>434</v>
      </c>
      <c r="D161" s="2077">
        <v>0</v>
      </c>
      <c r="E161" s="1025"/>
    </row>
    <row r="162" spans="1:5" x14ac:dyDescent="0.2">
      <c r="A162" s="2132"/>
      <c r="B162" s="2132"/>
      <c r="C162" s="896" t="s">
        <v>435</v>
      </c>
      <c r="D162" s="2077">
        <v>0</v>
      </c>
      <c r="E162" s="1025"/>
    </row>
    <row r="163" spans="1:5" ht="13.5" thickBot="1" x14ac:dyDescent="0.25">
      <c r="A163" s="2132"/>
      <c r="B163" s="2132"/>
      <c r="C163" s="897" t="s">
        <v>436</v>
      </c>
      <c r="D163" s="2077">
        <v>0</v>
      </c>
      <c r="E163" s="1025"/>
    </row>
    <row r="164" spans="1:5" ht="39" thickBot="1" x14ac:dyDescent="0.25">
      <c r="A164" s="2133"/>
      <c r="B164" s="2133"/>
      <c r="C164" s="1115" t="s">
        <v>437</v>
      </c>
      <c r="D164" s="2078"/>
      <c r="E164" s="1025"/>
    </row>
    <row r="165" spans="1:5" ht="30.75" thickBot="1" x14ac:dyDescent="0.25">
      <c r="A165" s="1131" t="s">
        <v>438</v>
      </c>
      <c r="B165" s="1131" t="s">
        <v>8395</v>
      </c>
      <c r="C165" s="653" t="s">
        <v>439</v>
      </c>
      <c r="D165" s="2095">
        <v>0</v>
      </c>
      <c r="E165" s="1025"/>
    </row>
    <row r="166" spans="1:5" ht="26.25" thickBot="1" x14ac:dyDescent="0.25">
      <c r="A166" s="2131" t="s">
        <v>440</v>
      </c>
      <c r="B166" s="2131" t="s">
        <v>8396</v>
      </c>
      <c r="C166" s="653" t="s">
        <v>441</v>
      </c>
      <c r="D166" s="2095">
        <v>0</v>
      </c>
      <c r="E166" s="1025"/>
    </row>
    <row r="167" spans="1:5" ht="26.25" thickBot="1" x14ac:dyDescent="0.25">
      <c r="A167" s="2133"/>
      <c r="B167" s="2133"/>
      <c r="C167" s="653" t="s">
        <v>442</v>
      </c>
      <c r="D167" s="2078"/>
      <c r="E167" s="1025"/>
    </row>
    <row r="168" spans="1:5" ht="13.5" thickBot="1" x14ac:dyDescent="0.25">
      <c r="A168" s="2131" t="s">
        <v>443</v>
      </c>
      <c r="B168" s="2131" t="s">
        <v>8397</v>
      </c>
      <c r="C168" s="1115" t="s">
        <v>444</v>
      </c>
      <c r="D168" s="2076"/>
      <c r="E168" s="1025"/>
    </row>
    <row r="169" spans="1:5" x14ac:dyDescent="0.2">
      <c r="A169" s="2132"/>
      <c r="B169" s="2132"/>
      <c r="C169" s="1107" t="s">
        <v>445</v>
      </c>
      <c r="D169" s="2077">
        <v>0</v>
      </c>
      <c r="E169" s="1025"/>
    </row>
    <row r="170" spans="1:5" x14ac:dyDescent="0.2">
      <c r="A170" s="2132"/>
      <c r="B170" s="2132"/>
      <c r="C170" s="896" t="s">
        <v>446</v>
      </c>
      <c r="D170" s="2077">
        <v>0</v>
      </c>
      <c r="E170" s="1025"/>
    </row>
    <row r="171" spans="1:5" x14ac:dyDescent="0.2">
      <c r="A171" s="2132"/>
      <c r="B171" s="2132"/>
      <c r="C171" s="896" t="s">
        <v>447</v>
      </c>
      <c r="D171" s="2077">
        <v>0</v>
      </c>
      <c r="E171" s="1025"/>
    </row>
    <row r="172" spans="1:5" x14ac:dyDescent="0.2">
      <c r="A172" s="2132"/>
      <c r="B172" s="2132"/>
      <c r="C172" s="896" t="s">
        <v>448</v>
      </c>
      <c r="D172" s="2077">
        <v>0</v>
      </c>
      <c r="E172" s="1025"/>
    </row>
    <row r="173" spans="1:5" ht="13.5" thickBot="1" x14ac:dyDescent="0.25">
      <c r="A173" s="2132"/>
      <c r="B173" s="2132"/>
      <c r="C173" s="897" t="s">
        <v>449</v>
      </c>
      <c r="D173" s="2077">
        <v>0</v>
      </c>
      <c r="E173" s="1025"/>
    </row>
    <row r="174" spans="1:5" ht="13.5" thickBot="1" x14ac:dyDescent="0.25">
      <c r="A174" s="2133"/>
      <c r="B174" s="2133"/>
      <c r="C174" s="1115" t="s">
        <v>450</v>
      </c>
      <c r="D174" s="2078"/>
      <c r="E174" s="1025"/>
    </row>
    <row r="175" spans="1:5" ht="26.25" thickBot="1" x14ac:dyDescent="0.25">
      <c r="A175" s="2131" t="s">
        <v>451</v>
      </c>
      <c r="B175" s="2131" t="s">
        <v>8398</v>
      </c>
      <c r="C175" s="653" t="s">
        <v>452</v>
      </c>
      <c r="D175" s="2076"/>
      <c r="E175" s="1025"/>
    </row>
    <row r="176" spans="1:5" x14ac:dyDescent="0.2">
      <c r="A176" s="2132"/>
      <c r="B176" s="2132"/>
      <c r="C176" s="1107" t="s">
        <v>453</v>
      </c>
      <c r="D176" s="2077">
        <v>0</v>
      </c>
      <c r="E176" s="1025"/>
    </row>
    <row r="177" spans="1:5" x14ac:dyDescent="0.2">
      <c r="A177" s="2132"/>
      <c r="B177" s="2132"/>
      <c r="C177" s="896" t="s">
        <v>454</v>
      </c>
      <c r="D177" s="2077">
        <v>0</v>
      </c>
      <c r="E177" s="1025"/>
    </row>
    <row r="178" spans="1:5" x14ac:dyDescent="0.2">
      <c r="A178" s="2132"/>
      <c r="B178" s="2132"/>
      <c r="C178" s="896" t="s">
        <v>455</v>
      </c>
      <c r="D178" s="2077">
        <v>0</v>
      </c>
      <c r="E178" s="1025"/>
    </row>
    <row r="179" spans="1:5" x14ac:dyDescent="0.2">
      <c r="A179" s="2132"/>
      <c r="B179" s="2132"/>
      <c r="C179" s="896" t="s">
        <v>456</v>
      </c>
      <c r="D179" s="2077">
        <v>0</v>
      </c>
      <c r="E179" s="1025"/>
    </row>
    <row r="180" spans="1:5" ht="13.5" thickBot="1" x14ac:dyDescent="0.25">
      <c r="A180" s="2132"/>
      <c r="B180" s="2132"/>
      <c r="C180" s="1108" t="s">
        <v>457</v>
      </c>
      <c r="D180" s="2077">
        <v>0</v>
      </c>
      <c r="E180" s="1025"/>
    </row>
    <row r="181" spans="1:5" ht="39" thickBot="1" x14ac:dyDescent="0.25">
      <c r="A181" s="2133"/>
      <c r="B181" s="2133"/>
      <c r="C181" s="653" t="s">
        <v>458</v>
      </c>
      <c r="D181" s="2078"/>
      <c r="E181" s="1025"/>
    </row>
    <row r="182" spans="1:5" ht="13.5" thickBot="1" x14ac:dyDescent="0.25">
      <c r="A182" s="2131" t="s">
        <v>459</v>
      </c>
      <c r="B182" s="2131" t="s">
        <v>460</v>
      </c>
      <c r="C182" s="653" t="s">
        <v>461</v>
      </c>
      <c r="D182" s="2076"/>
      <c r="E182" s="1025"/>
    </row>
    <row r="183" spans="1:5" x14ac:dyDescent="0.2">
      <c r="A183" s="2132"/>
      <c r="B183" s="2132"/>
      <c r="C183" s="1107" t="s">
        <v>462</v>
      </c>
      <c r="D183" s="2083">
        <v>0</v>
      </c>
      <c r="E183" s="1025"/>
    </row>
    <row r="184" spans="1:5" x14ac:dyDescent="0.2">
      <c r="A184" s="2132"/>
      <c r="B184" s="2132"/>
      <c r="C184" s="896" t="s">
        <v>463</v>
      </c>
      <c r="D184" s="2083">
        <v>0</v>
      </c>
      <c r="E184" s="1025"/>
    </row>
    <row r="185" spans="1:5" ht="13.5" thickBot="1" x14ac:dyDescent="0.25">
      <c r="A185" s="2132"/>
      <c r="B185" s="2132"/>
      <c r="C185" s="897" t="s">
        <v>464</v>
      </c>
      <c r="D185" s="2083">
        <v>0</v>
      </c>
      <c r="E185" s="1025"/>
    </row>
    <row r="186" spans="1:5" ht="13.5" thickBot="1" x14ac:dyDescent="0.25">
      <c r="A186" s="2133"/>
      <c r="B186" s="2133"/>
      <c r="C186" s="1115" t="s">
        <v>465</v>
      </c>
      <c r="D186" s="2078"/>
      <c r="E186" s="1025"/>
    </row>
    <row r="187" spans="1:5" ht="26.25" thickBot="1" x14ac:dyDescent="0.25">
      <c r="A187" s="2131" t="s">
        <v>466</v>
      </c>
      <c r="B187" s="2131" t="s">
        <v>8399</v>
      </c>
      <c r="C187" s="1129" t="s">
        <v>8354</v>
      </c>
      <c r="D187" s="2076"/>
      <c r="E187" s="1025"/>
    </row>
    <row r="188" spans="1:5" ht="25.5" x14ac:dyDescent="0.2">
      <c r="A188" s="2132"/>
      <c r="B188" s="2132"/>
      <c r="C188" s="1132" t="s">
        <v>8989</v>
      </c>
      <c r="D188" s="2085">
        <v>0</v>
      </c>
      <c r="E188" s="1025" t="s">
        <v>467</v>
      </c>
    </row>
    <row r="189" spans="1:5" x14ac:dyDescent="0.2">
      <c r="A189" s="2132"/>
      <c r="B189" s="2132"/>
      <c r="C189" s="1133" t="s">
        <v>468</v>
      </c>
      <c r="D189" s="2085">
        <v>0</v>
      </c>
      <c r="E189" s="1025"/>
    </row>
    <row r="190" spans="1:5" x14ac:dyDescent="0.2">
      <c r="A190" s="2132"/>
      <c r="B190" s="2132"/>
      <c r="C190" s="1133" t="s">
        <v>469</v>
      </c>
      <c r="D190" s="2085">
        <v>0</v>
      </c>
      <c r="E190" s="1025"/>
    </row>
    <row r="191" spans="1:5" x14ac:dyDescent="0.2">
      <c r="A191" s="2132"/>
      <c r="B191" s="2132"/>
      <c r="C191" s="1133" t="s">
        <v>470</v>
      </c>
      <c r="D191" s="2085">
        <v>0</v>
      </c>
      <c r="E191" s="1025"/>
    </row>
    <row r="192" spans="1:5" ht="13.5" thickBot="1" x14ac:dyDescent="0.25">
      <c r="A192" s="2132"/>
      <c r="B192" s="2132"/>
      <c r="C192" s="1109" t="s">
        <v>471</v>
      </c>
      <c r="D192" s="2085">
        <v>0</v>
      </c>
      <c r="E192" s="1025"/>
    </row>
    <row r="193" spans="1:5" ht="13.5" thickBot="1" x14ac:dyDescent="0.25">
      <c r="A193" s="2133"/>
      <c r="B193" s="2133"/>
      <c r="C193" s="1133" t="s">
        <v>472</v>
      </c>
      <c r="D193" s="2078"/>
      <c r="E193" s="1025"/>
    </row>
    <row r="194" spans="1:5" ht="39" thickBot="1" x14ac:dyDescent="0.25">
      <c r="A194" s="1131" t="s">
        <v>473</v>
      </c>
      <c r="B194" s="1131" t="s">
        <v>474</v>
      </c>
      <c r="C194" s="653" t="s">
        <v>475</v>
      </c>
      <c r="D194" s="2095">
        <v>0</v>
      </c>
      <c r="E194" s="1025" t="s">
        <v>476</v>
      </c>
    </row>
    <row r="195" spans="1:5" ht="26.25" thickBot="1" x14ac:dyDescent="0.25">
      <c r="A195" s="2134" t="s">
        <v>477</v>
      </c>
      <c r="B195" s="2134" t="s">
        <v>9134</v>
      </c>
      <c r="C195" s="653" t="s">
        <v>478</v>
      </c>
      <c r="D195" s="2076"/>
      <c r="E195" s="1025"/>
    </row>
    <row r="196" spans="1:5" x14ac:dyDescent="0.2">
      <c r="A196" s="2135"/>
      <c r="B196" s="2135"/>
      <c r="C196" s="1107" t="s">
        <v>479</v>
      </c>
      <c r="D196" s="2084">
        <v>0</v>
      </c>
      <c r="E196" s="1025" t="s">
        <v>480</v>
      </c>
    </row>
    <row r="197" spans="1:5" x14ac:dyDescent="0.2">
      <c r="A197" s="2135"/>
      <c r="B197" s="2135"/>
      <c r="C197" s="896" t="s">
        <v>481</v>
      </c>
      <c r="D197" s="2084">
        <v>0</v>
      </c>
      <c r="E197" s="1025" t="s">
        <v>482</v>
      </c>
    </row>
    <row r="198" spans="1:5" x14ac:dyDescent="0.2">
      <c r="A198" s="2135"/>
      <c r="B198" s="2135"/>
      <c r="C198" s="896" t="s">
        <v>483</v>
      </c>
      <c r="D198" s="2084">
        <v>0</v>
      </c>
      <c r="E198" s="1025"/>
    </row>
    <row r="199" spans="1:5" x14ac:dyDescent="0.2">
      <c r="A199" s="2135"/>
      <c r="B199" s="2135"/>
      <c r="C199" s="896" t="s">
        <v>484</v>
      </c>
      <c r="D199" s="2084">
        <v>0</v>
      </c>
      <c r="E199" s="1025"/>
    </row>
    <row r="200" spans="1:5" x14ac:dyDescent="0.2">
      <c r="A200" s="2135"/>
      <c r="B200" s="2135"/>
      <c r="C200" s="896" t="s">
        <v>485</v>
      </c>
      <c r="D200" s="2084">
        <v>0</v>
      </c>
      <c r="E200" s="1025"/>
    </row>
    <row r="201" spans="1:5" ht="13.5" thickBot="1" x14ac:dyDescent="0.25">
      <c r="A201" s="2136"/>
      <c r="B201" s="2136"/>
      <c r="C201" s="897" t="s">
        <v>486</v>
      </c>
      <c r="D201" s="2084">
        <v>0</v>
      </c>
      <c r="E201" s="1025" t="s">
        <v>487</v>
      </c>
    </row>
    <row r="202" spans="1:5" ht="26.25" thickBot="1" x14ac:dyDescent="0.25">
      <c r="A202" s="2131" t="s">
        <v>488</v>
      </c>
      <c r="B202" s="2131" t="s">
        <v>489</v>
      </c>
      <c r="C202" s="1115" t="s">
        <v>490</v>
      </c>
      <c r="D202" s="2076"/>
      <c r="E202" s="1025"/>
    </row>
    <row r="203" spans="1:5" x14ac:dyDescent="0.2">
      <c r="A203" s="2132"/>
      <c r="B203" s="2132"/>
      <c r="C203" s="1107" t="s">
        <v>491</v>
      </c>
      <c r="D203" s="2084">
        <v>0</v>
      </c>
      <c r="E203" s="1025"/>
    </row>
    <row r="204" spans="1:5" x14ac:dyDescent="0.2">
      <c r="A204" s="2132"/>
      <c r="B204" s="2132"/>
      <c r="C204" s="896" t="s">
        <v>492</v>
      </c>
      <c r="D204" s="2084">
        <v>0</v>
      </c>
      <c r="E204" s="1025"/>
    </row>
    <row r="205" spans="1:5" x14ac:dyDescent="0.2">
      <c r="A205" s="2132"/>
      <c r="B205" s="2132"/>
      <c r="C205" s="896" t="s">
        <v>493</v>
      </c>
      <c r="D205" s="2084">
        <v>0</v>
      </c>
      <c r="E205" s="1025"/>
    </row>
    <row r="206" spans="1:5" x14ac:dyDescent="0.2">
      <c r="A206" s="2132"/>
      <c r="B206" s="2132"/>
      <c r="C206" s="896" t="s">
        <v>494</v>
      </c>
      <c r="D206" s="2084">
        <v>0</v>
      </c>
      <c r="E206" s="1025"/>
    </row>
    <row r="207" spans="1:5" x14ac:dyDescent="0.2">
      <c r="A207" s="2132"/>
      <c r="B207" s="2132"/>
      <c r="C207" s="896" t="s">
        <v>124</v>
      </c>
      <c r="D207" s="2084">
        <v>0</v>
      </c>
      <c r="E207" s="1025"/>
    </row>
    <row r="208" spans="1:5" ht="13.5" thickBot="1" x14ac:dyDescent="0.25">
      <c r="A208" s="2132"/>
      <c r="B208" s="2132"/>
      <c r="C208" s="897" t="s">
        <v>495</v>
      </c>
      <c r="D208" s="2084">
        <v>0</v>
      </c>
      <c r="E208" s="1025"/>
    </row>
    <row r="209" spans="1:5" ht="26.25" thickBot="1" x14ac:dyDescent="0.25">
      <c r="A209" s="2133"/>
      <c r="B209" s="2133"/>
      <c r="C209" s="1115" t="s">
        <v>496</v>
      </c>
      <c r="D209" s="2078"/>
      <c r="E209" s="1025"/>
    </row>
    <row r="210" spans="1:5" ht="26.25" thickBot="1" x14ac:dyDescent="0.25">
      <c r="A210" s="2131" t="s">
        <v>497</v>
      </c>
      <c r="B210" s="2131" t="s">
        <v>498</v>
      </c>
      <c r="C210" s="1115" t="s">
        <v>499</v>
      </c>
      <c r="D210" s="2076"/>
      <c r="E210" s="1025"/>
    </row>
    <row r="211" spans="1:5" x14ac:dyDescent="0.2">
      <c r="A211" s="2132"/>
      <c r="B211" s="2132"/>
      <c r="C211" s="1107" t="s">
        <v>500</v>
      </c>
      <c r="D211" s="2077">
        <v>0</v>
      </c>
      <c r="E211" s="1025"/>
    </row>
    <row r="212" spans="1:5" x14ac:dyDescent="0.2">
      <c r="A212" s="2132"/>
      <c r="B212" s="2132"/>
      <c r="C212" s="896" t="s">
        <v>501</v>
      </c>
      <c r="D212" s="2077">
        <v>0</v>
      </c>
      <c r="E212" s="1025"/>
    </row>
    <row r="213" spans="1:5" x14ac:dyDescent="0.2">
      <c r="A213" s="2132"/>
      <c r="B213" s="2132"/>
      <c r="C213" s="896" t="s">
        <v>502</v>
      </c>
      <c r="D213" s="2077">
        <v>0</v>
      </c>
      <c r="E213" s="1025"/>
    </row>
    <row r="214" spans="1:5" x14ac:dyDescent="0.2">
      <c r="A214" s="2132"/>
      <c r="B214" s="2132"/>
      <c r="C214" s="896" t="s">
        <v>503</v>
      </c>
      <c r="D214" s="2077">
        <v>0</v>
      </c>
      <c r="E214" s="1025"/>
    </row>
    <row r="215" spans="1:5" ht="13.5" thickBot="1" x14ac:dyDescent="0.25">
      <c r="A215" s="2132"/>
      <c r="B215" s="2132"/>
      <c r="C215" s="1108" t="s">
        <v>504</v>
      </c>
      <c r="D215" s="2077">
        <v>0</v>
      </c>
      <c r="E215" s="1025"/>
    </row>
    <row r="216" spans="1:5" ht="26.25" thickBot="1" x14ac:dyDescent="0.25">
      <c r="A216" s="2133"/>
      <c r="B216" s="2133"/>
      <c r="C216" s="653" t="s">
        <v>505</v>
      </c>
      <c r="D216" s="2078"/>
      <c r="E216" s="1025"/>
    </row>
    <row r="217" spans="1:5" ht="26.25" thickBot="1" x14ac:dyDescent="0.25">
      <c r="A217" s="2131" t="s">
        <v>506</v>
      </c>
      <c r="B217" s="2131" t="s">
        <v>507</v>
      </c>
      <c r="C217" s="653" t="s">
        <v>508</v>
      </c>
      <c r="D217" s="2076"/>
      <c r="E217" s="1025"/>
    </row>
    <row r="218" spans="1:5" x14ac:dyDescent="0.2">
      <c r="A218" s="2132"/>
      <c r="B218" s="2132"/>
      <c r="C218" s="1107" t="s">
        <v>509</v>
      </c>
      <c r="D218" s="2083">
        <v>0</v>
      </c>
      <c r="E218" s="1025"/>
    </row>
    <row r="219" spans="1:5" x14ac:dyDescent="0.2">
      <c r="A219" s="2132"/>
      <c r="B219" s="2132"/>
      <c r="C219" s="896" t="s">
        <v>392</v>
      </c>
      <c r="D219" s="2083">
        <v>0</v>
      </c>
      <c r="E219" s="1025"/>
    </row>
    <row r="220" spans="1:5" ht="26.25" thickBot="1" x14ac:dyDescent="0.25">
      <c r="A220" s="2132"/>
      <c r="B220" s="2132"/>
      <c r="C220" s="897" t="s">
        <v>510</v>
      </c>
      <c r="D220" s="2083">
        <v>0</v>
      </c>
      <c r="E220" s="1025"/>
    </row>
    <row r="221" spans="1:5" ht="13.5" thickBot="1" x14ac:dyDescent="0.25">
      <c r="A221" s="2133"/>
      <c r="B221" s="2133"/>
      <c r="C221" s="1115" t="s">
        <v>511</v>
      </c>
      <c r="D221" s="2078"/>
      <c r="E221" s="1025"/>
    </row>
    <row r="222" spans="1:5" ht="30.75" thickBot="1" x14ac:dyDescent="0.25">
      <c r="A222" s="1131" t="s">
        <v>512</v>
      </c>
      <c r="B222" s="1131" t="s">
        <v>513</v>
      </c>
      <c r="C222" s="653" t="s">
        <v>8988</v>
      </c>
      <c r="D222" s="2096">
        <v>0</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5">
        <v>0</v>
      </c>
      <c r="E224" s="1025"/>
    </row>
    <row r="225" spans="1:5" ht="26.25" thickBot="1" x14ac:dyDescent="0.25">
      <c r="A225" s="2131" t="s">
        <v>521</v>
      </c>
      <c r="B225" s="2131" t="s">
        <v>553</v>
      </c>
      <c r="C225" s="653" t="s">
        <v>554</v>
      </c>
      <c r="D225" s="2097">
        <v>0</v>
      </c>
      <c r="E225" s="1025"/>
    </row>
    <row r="226" spans="1:5" x14ac:dyDescent="0.2">
      <c r="A226" s="2132"/>
      <c r="B226" s="2132"/>
      <c r="C226" s="1107" t="s">
        <v>555</v>
      </c>
      <c r="D226" s="2083"/>
      <c r="E226" s="1025"/>
    </row>
    <row r="227" spans="1:5" x14ac:dyDescent="0.2">
      <c r="A227" s="2132"/>
      <c r="B227" s="2132"/>
      <c r="C227" s="896" t="s">
        <v>392</v>
      </c>
      <c r="D227" s="2083">
        <v>0</v>
      </c>
      <c r="E227" s="1025"/>
    </row>
    <row r="228" spans="1:5" ht="13.5" thickBot="1" x14ac:dyDescent="0.25">
      <c r="A228" s="2132"/>
      <c r="B228" s="2132"/>
      <c r="C228" s="897" t="s">
        <v>556</v>
      </c>
      <c r="D228" s="2083">
        <v>0</v>
      </c>
      <c r="E228" s="1025"/>
    </row>
    <row r="229" spans="1:5" ht="26.25" thickBot="1" x14ac:dyDescent="0.25">
      <c r="A229" s="2133"/>
      <c r="B229" s="2133"/>
      <c r="C229" s="1115" t="s">
        <v>557</v>
      </c>
      <c r="D229" s="2104">
        <v>0</v>
      </c>
      <c r="E229" s="1025"/>
    </row>
    <row r="230" spans="1:5" ht="39" thickBot="1" x14ac:dyDescent="0.25">
      <c r="A230" s="1118" t="s">
        <v>524</v>
      </c>
      <c r="B230" s="1118" t="s">
        <v>522</v>
      </c>
      <c r="C230" s="653" t="s">
        <v>8987</v>
      </c>
      <c r="D230" s="2083">
        <v>0</v>
      </c>
      <c r="E230" s="1025" t="s">
        <v>523</v>
      </c>
    </row>
    <row r="231" spans="1:5" ht="30.75" thickBot="1" x14ac:dyDescent="0.25">
      <c r="A231" s="1116" t="s">
        <v>532</v>
      </c>
      <c r="B231" s="985" t="s">
        <v>539</v>
      </c>
      <c r="C231" s="1135" t="s">
        <v>540</v>
      </c>
      <c r="D231" s="2083">
        <v>0</v>
      </c>
      <c r="E231" s="1025"/>
    </row>
    <row r="232" spans="1:5" ht="51.75" thickBot="1" x14ac:dyDescent="0.25">
      <c r="A232" s="2131" t="s">
        <v>538</v>
      </c>
      <c r="B232" s="2131" t="s">
        <v>8400</v>
      </c>
      <c r="C232" s="653" t="s">
        <v>525</v>
      </c>
      <c r="D232" s="2078"/>
      <c r="E232" s="1025"/>
    </row>
    <row r="233" spans="1:5" ht="13.5" thickBot="1" x14ac:dyDescent="0.25">
      <c r="A233" s="2132"/>
      <c r="B233" s="2132"/>
      <c r="C233" s="1107" t="s">
        <v>526</v>
      </c>
      <c r="D233" s="2094"/>
      <c r="E233" s="1025"/>
    </row>
    <row r="234" spans="1:5" x14ac:dyDescent="0.2">
      <c r="A234" s="2132"/>
      <c r="B234" s="2132"/>
      <c r="C234" s="896" t="s">
        <v>527</v>
      </c>
      <c r="D234" s="2094">
        <v>0</v>
      </c>
      <c r="E234" s="1025"/>
    </row>
    <row r="235" spans="1:5" x14ac:dyDescent="0.2">
      <c r="A235" s="2132"/>
      <c r="B235" s="2132"/>
      <c r="C235" s="896" t="s">
        <v>528</v>
      </c>
      <c r="D235" s="2085">
        <v>0</v>
      </c>
      <c r="E235" s="1025"/>
    </row>
    <row r="236" spans="1:5" ht="38.25" x14ac:dyDescent="0.2">
      <c r="A236" s="2132"/>
      <c r="B236" s="2132"/>
      <c r="C236" s="896" t="s">
        <v>8991</v>
      </c>
      <c r="D236" s="2098">
        <v>0</v>
      </c>
      <c r="E236" s="1025" t="s">
        <v>529</v>
      </c>
    </row>
    <row r="237" spans="1:5" ht="26.25" thickBot="1" x14ac:dyDescent="0.25">
      <c r="A237" s="2132"/>
      <c r="B237" s="2132"/>
      <c r="C237" s="897" t="s">
        <v>8990</v>
      </c>
      <c r="D237" s="2098"/>
      <c r="E237" s="1025" t="s">
        <v>530</v>
      </c>
    </row>
    <row r="238" spans="1:5" ht="64.5" thickBot="1" x14ac:dyDescent="0.25">
      <c r="A238" s="2132"/>
      <c r="B238" s="2132"/>
      <c r="C238" s="1134" t="s">
        <v>531</v>
      </c>
      <c r="D238" s="2076">
        <v>0</v>
      </c>
      <c r="E238" s="1025"/>
    </row>
    <row r="239" spans="1:5" ht="13.5" thickBot="1" x14ac:dyDescent="0.25">
      <c r="A239" s="2131" t="s">
        <v>541</v>
      </c>
      <c r="B239" s="2131" t="s">
        <v>8401</v>
      </c>
      <c r="C239" s="653" t="s">
        <v>533</v>
      </c>
      <c r="D239" s="2076"/>
      <c r="E239" s="1025"/>
    </row>
    <row r="240" spans="1:5" ht="25.5" x14ac:dyDescent="0.2">
      <c r="A240" s="2132"/>
      <c r="B240" s="2132"/>
      <c r="C240" s="1107" t="s">
        <v>534</v>
      </c>
      <c r="D240" s="2094">
        <v>0</v>
      </c>
      <c r="E240" s="1025"/>
    </row>
    <row r="241" spans="1:5" x14ac:dyDescent="0.2">
      <c r="A241" s="2132"/>
      <c r="B241" s="2132"/>
      <c r="C241" s="896" t="s">
        <v>535</v>
      </c>
      <c r="D241" s="2085">
        <v>0</v>
      </c>
      <c r="E241" s="1025"/>
    </row>
    <row r="242" spans="1:5" ht="26.25" thickBot="1" x14ac:dyDescent="0.25">
      <c r="A242" s="2132"/>
      <c r="B242" s="2132"/>
      <c r="C242" s="1108" t="s">
        <v>536</v>
      </c>
      <c r="D242" s="2085">
        <v>0</v>
      </c>
      <c r="E242" s="1025"/>
    </row>
    <row r="243" spans="1:5" ht="13.5" thickBot="1" x14ac:dyDescent="0.25">
      <c r="A243" s="2133"/>
      <c r="B243" s="2141"/>
      <c r="C243" s="501" t="s">
        <v>537</v>
      </c>
      <c r="D243" s="2078">
        <v>0</v>
      </c>
      <c r="E243" s="1025"/>
    </row>
    <row r="244" spans="1:5" ht="26.25" thickBot="1" x14ac:dyDescent="0.25">
      <c r="A244" s="2131" t="s">
        <v>549</v>
      </c>
      <c r="B244" s="2131" t="s">
        <v>542</v>
      </c>
      <c r="C244" s="653" t="s">
        <v>543</v>
      </c>
      <c r="D244" s="2078">
        <v>0</v>
      </c>
      <c r="E244" s="1025"/>
    </row>
    <row r="245" spans="1:5" ht="39" thickBot="1" x14ac:dyDescent="0.25">
      <c r="A245" s="2135"/>
      <c r="B245" s="2135"/>
      <c r="C245" s="1107" t="s">
        <v>544</v>
      </c>
      <c r="D245" s="2095">
        <v>0</v>
      </c>
      <c r="E245" s="1025"/>
    </row>
    <row r="246" spans="1:5" ht="13.5" thickBot="1" x14ac:dyDescent="0.25">
      <c r="A246" s="2135"/>
      <c r="B246" s="2135"/>
      <c r="C246" s="896" t="s">
        <v>545</v>
      </c>
      <c r="D246" s="2095"/>
      <c r="E246" s="1025"/>
    </row>
    <row r="247" spans="1:5" ht="25.5" x14ac:dyDescent="0.2">
      <c r="A247" s="2135"/>
      <c r="B247" s="2135"/>
      <c r="C247" s="896" t="s">
        <v>546</v>
      </c>
      <c r="D247" s="2094">
        <v>0</v>
      </c>
      <c r="E247" s="1025"/>
    </row>
    <row r="248" spans="1:5" x14ac:dyDescent="0.2">
      <c r="A248" s="2135"/>
      <c r="B248" s="2135"/>
      <c r="C248" s="896" t="s">
        <v>547</v>
      </c>
      <c r="D248" s="2085">
        <v>0</v>
      </c>
      <c r="E248" s="1025"/>
    </row>
    <row r="249" spans="1:5" ht="26.25" thickBot="1" x14ac:dyDescent="0.25">
      <c r="A249" s="2136"/>
      <c r="B249" s="2136"/>
      <c r="C249" s="897" t="s">
        <v>548</v>
      </c>
      <c r="D249" s="2093">
        <v>0</v>
      </c>
      <c r="E249" s="1025"/>
    </row>
    <row r="250" spans="1:5" ht="51.75" thickBot="1" x14ac:dyDescent="0.25">
      <c r="A250" s="1131" t="s">
        <v>552</v>
      </c>
      <c r="B250" s="892" t="s">
        <v>550</v>
      </c>
      <c r="C250" s="980" t="s">
        <v>8992</v>
      </c>
      <c r="D250" s="2093"/>
      <c r="E250" s="1025" t="s">
        <v>551</v>
      </c>
    </row>
    <row r="251" spans="1:5" ht="13.5" thickBot="1" x14ac:dyDescent="0.25">
      <c r="A251" s="2134" t="s">
        <v>558</v>
      </c>
      <c r="B251" s="2134" t="s">
        <v>8402</v>
      </c>
      <c r="C251" s="1115" t="s">
        <v>559</v>
      </c>
      <c r="D251" s="2076"/>
      <c r="E251" s="1025"/>
    </row>
    <row r="252" spans="1:5" ht="25.5" x14ac:dyDescent="0.2">
      <c r="A252" s="2135"/>
      <c r="B252" s="2135"/>
      <c r="C252" s="1136" t="s">
        <v>560</v>
      </c>
      <c r="D252" s="2094">
        <v>0</v>
      </c>
      <c r="E252" s="1025"/>
    </row>
    <row r="253" spans="1:5" ht="38.25" x14ac:dyDescent="0.2">
      <c r="A253" s="2135"/>
      <c r="B253" s="2135"/>
      <c r="C253" s="1137" t="s">
        <v>561</v>
      </c>
      <c r="D253" s="2085">
        <v>0</v>
      </c>
      <c r="E253" s="1025"/>
    </row>
    <row r="254" spans="1:5" ht="26.25" thickBot="1" x14ac:dyDescent="0.25">
      <c r="A254" s="2136"/>
      <c r="B254" s="2136"/>
      <c r="C254" s="1108" t="s">
        <v>562</v>
      </c>
      <c r="D254" s="2098">
        <v>0</v>
      </c>
      <c r="E254" s="1025"/>
    </row>
    <row r="255" spans="1:5" ht="13.5" thickBot="1" x14ac:dyDescent="0.25">
      <c r="A255" s="2131" t="s">
        <v>563</v>
      </c>
      <c r="B255" s="2131" t="s">
        <v>564</v>
      </c>
      <c r="C255" s="653" t="s">
        <v>565</v>
      </c>
      <c r="D255" s="2076"/>
      <c r="E255" s="1025"/>
    </row>
    <row r="256" spans="1:5" ht="42" customHeight="1" x14ac:dyDescent="0.2">
      <c r="A256" s="2132"/>
      <c r="B256" s="2132"/>
      <c r="C256" s="1138" t="s">
        <v>566</v>
      </c>
      <c r="D256" s="2085"/>
      <c r="E256" s="1025"/>
    </row>
    <row r="257" spans="1:5" ht="25.5" x14ac:dyDescent="0.2">
      <c r="A257" s="2132"/>
      <c r="B257" s="2132"/>
      <c r="C257" s="896" t="s">
        <v>567</v>
      </c>
      <c r="D257" s="2085">
        <v>0</v>
      </c>
      <c r="E257" s="1025"/>
    </row>
    <row r="258" spans="1:5" ht="13.5" thickBot="1" x14ac:dyDescent="0.25">
      <c r="A258" s="2132"/>
      <c r="B258" s="2132"/>
      <c r="C258" s="897" t="s">
        <v>568</v>
      </c>
      <c r="D258" s="2098">
        <v>0</v>
      </c>
      <c r="E258" s="1025"/>
    </row>
    <row r="259" spans="1:5" ht="26.25" thickBot="1" x14ac:dyDescent="0.25">
      <c r="A259" s="2133"/>
      <c r="B259" s="2133"/>
      <c r="C259" s="1115" t="s">
        <v>569</v>
      </c>
      <c r="D259" s="2105"/>
      <c r="E259" s="1025"/>
    </row>
    <row r="260" spans="1:5" ht="13.5" thickBot="1" x14ac:dyDescent="0.25">
      <c r="A260" s="2131" t="s">
        <v>570</v>
      </c>
      <c r="B260" s="2131" t="s">
        <v>571</v>
      </c>
      <c r="C260" s="653" t="s">
        <v>572</v>
      </c>
      <c r="D260" s="2076"/>
      <c r="E260" s="1025"/>
    </row>
    <row r="261" spans="1:5" x14ac:dyDescent="0.2">
      <c r="A261" s="2132"/>
      <c r="B261" s="2132"/>
      <c r="C261" s="1107" t="s">
        <v>573</v>
      </c>
      <c r="D261" s="2094">
        <v>0</v>
      </c>
      <c r="E261" s="1025"/>
    </row>
    <row r="262" spans="1:5" x14ac:dyDescent="0.2">
      <c r="A262" s="2132"/>
      <c r="B262" s="2132"/>
      <c r="C262" s="896" t="s">
        <v>574</v>
      </c>
      <c r="D262" s="2085">
        <v>0</v>
      </c>
      <c r="E262" s="1025"/>
    </row>
    <row r="263" spans="1:5" x14ac:dyDescent="0.2">
      <c r="A263" s="2132"/>
      <c r="B263" s="2132"/>
      <c r="C263" s="896" t="s">
        <v>575</v>
      </c>
      <c r="D263" s="2085">
        <v>0</v>
      </c>
      <c r="E263" s="1025"/>
    </row>
    <row r="264" spans="1:5" ht="13.5" thickBot="1" x14ac:dyDescent="0.25">
      <c r="A264" s="2132"/>
      <c r="B264" s="2132"/>
      <c r="C264" s="897" t="s">
        <v>576</v>
      </c>
      <c r="D264" s="2093">
        <v>0</v>
      </c>
      <c r="E264" s="1025" t="s">
        <v>577</v>
      </c>
    </row>
    <row r="265" spans="1:5" ht="64.5" thickBot="1" x14ac:dyDescent="0.25">
      <c r="A265" s="2133"/>
      <c r="B265" s="2133"/>
      <c r="C265" s="1115" t="s">
        <v>578</v>
      </c>
      <c r="D265" s="2076"/>
      <c r="E265" s="1025"/>
    </row>
    <row r="266" spans="1:5" ht="26.25" thickBot="1" x14ac:dyDescent="0.25">
      <c r="A266" s="2137" t="s">
        <v>579</v>
      </c>
      <c r="B266" s="2137" t="s">
        <v>8534</v>
      </c>
      <c r="C266" s="1115" t="s">
        <v>580</v>
      </c>
      <c r="D266" s="2076"/>
      <c r="E266" s="1025"/>
    </row>
    <row r="267" spans="1:5" x14ac:dyDescent="0.2">
      <c r="A267" s="2135"/>
      <c r="B267" s="2135"/>
      <c r="C267" s="1107" t="s">
        <v>581</v>
      </c>
      <c r="D267" s="2083">
        <v>0</v>
      </c>
      <c r="E267" s="1025"/>
    </row>
    <row r="268" spans="1:5" x14ac:dyDescent="0.2">
      <c r="A268" s="2135"/>
      <c r="B268" s="2135"/>
      <c r="C268" s="896" t="s">
        <v>582</v>
      </c>
      <c r="D268" s="2083">
        <v>0</v>
      </c>
      <c r="E268" s="1025"/>
    </row>
    <row r="269" spans="1:5" x14ac:dyDescent="0.2">
      <c r="A269" s="2135"/>
      <c r="B269" s="2135"/>
      <c r="C269" s="896" t="s">
        <v>583</v>
      </c>
      <c r="D269" s="2083">
        <v>0</v>
      </c>
      <c r="E269" s="1025"/>
    </row>
    <row r="270" spans="1:5" x14ac:dyDescent="0.2">
      <c r="A270" s="2135"/>
      <c r="B270" s="2135"/>
      <c r="C270" s="896" t="s">
        <v>584</v>
      </c>
      <c r="D270" s="2083">
        <v>0</v>
      </c>
      <c r="E270" s="1025"/>
    </row>
    <row r="271" spans="1:5" ht="13.5" thickBot="1" x14ac:dyDescent="0.25">
      <c r="A271" s="2136"/>
      <c r="B271" s="2136"/>
      <c r="C271" s="897" t="s">
        <v>585</v>
      </c>
      <c r="D271" s="2083">
        <v>0</v>
      </c>
      <c r="E271" s="1025" t="s">
        <v>8601</v>
      </c>
    </row>
    <row r="272" spans="1:5" ht="26.25" thickBot="1" x14ac:dyDescent="0.25">
      <c r="A272" s="2137" t="s">
        <v>586</v>
      </c>
      <c r="B272" s="2137" t="s">
        <v>8535</v>
      </c>
      <c r="C272" s="1115" t="s">
        <v>587</v>
      </c>
      <c r="D272" s="2078"/>
      <c r="E272" s="1025"/>
    </row>
    <row r="273" spans="1:5" x14ac:dyDescent="0.2">
      <c r="A273" s="2135"/>
      <c r="B273" s="2135"/>
      <c r="C273" s="1107" t="s">
        <v>588</v>
      </c>
      <c r="D273" s="2085">
        <v>0</v>
      </c>
      <c r="E273" s="1025"/>
    </row>
    <row r="274" spans="1:5" ht="26.25" thickBot="1" x14ac:dyDescent="0.25">
      <c r="A274" s="2135"/>
      <c r="B274" s="2135"/>
      <c r="C274" s="1108" t="s">
        <v>8997</v>
      </c>
      <c r="D274" s="2083">
        <v>0</v>
      </c>
      <c r="E274" s="1025"/>
    </row>
    <row r="275" spans="1:5" ht="26.25" thickBot="1" x14ac:dyDescent="0.25">
      <c r="A275" s="2134" t="s">
        <v>589</v>
      </c>
      <c r="B275" s="2134" t="s">
        <v>590</v>
      </c>
      <c r="C275" s="653" t="s">
        <v>591</v>
      </c>
      <c r="D275" s="2078"/>
      <c r="E275" s="1025"/>
    </row>
    <row r="276" spans="1:5" x14ac:dyDescent="0.2">
      <c r="A276" s="2135"/>
      <c r="B276" s="2135"/>
      <c r="C276" s="1107" t="s">
        <v>592</v>
      </c>
      <c r="D276" s="2083">
        <v>0</v>
      </c>
      <c r="E276" s="1025"/>
    </row>
    <row r="277" spans="1:5" x14ac:dyDescent="0.2">
      <c r="A277" s="2135"/>
      <c r="B277" s="2135"/>
      <c r="C277" s="896" t="s">
        <v>574</v>
      </c>
      <c r="D277" s="2085">
        <v>0</v>
      </c>
      <c r="E277" s="1025"/>
    </row>
    <row r="278" spans="1:5" x14ac:dyDescent="0.2">
      <c r="A278" s="2135"/>
      <c r="B278" s="2135"/>
      <c r="C278" s="896" t="s">
        <v>593</v>
      </c>
      <c r="D278" s="2083">
        <v>0</v>
      </c>
      <c r="E278" s="1025"/>
    </row>
    <row r="279" spans="1:5" ht="13.5" thickBot="1" x14ac:dyDescent="0.25">
      <c r="A279" s="2136"/>
      <c r="B279" s="2136"/>
      <c r="C279" s="897" t="s">
        <v>594</v>
      </c>
      <c r="D279" s="2083">
        <v>0</v>
      </c>
      <c r="E279" s="1025"/>
    </row>
    <row r="280" spans="1:5" ht="39" thickBot="1" x14ac:dyDescent="0.25">
      <c r="A280" s="2131" t="s">
        <v>595</v>
      </c>
      <c r="B280" s="2131" t="s">
        <v>8403</v>
      </c>
      <c r="C280" s="653" t="s">
        <v>596</v>
      </c>
      <c r="D280" s="2076"/>
      <c r="E280" s="1025"/>
    </row>
    <row r="281" spans="1:5" x14ac:dyDescent="0.2">
      <c r="A281" s="2132"/>
      <c r="B281" s="2132"/>
      <c r="C281" s="895" t="s">
        <v>597</v>
      </c>
      <c r="D281" s="2099">
        <v>0</v>
      </c>
      <c r="E281" s="1025"/>
    </row>
    <row r="282" spans="1:5" x14ac:dyDescent="0.2">
      <c r="A282" s="2132"/>
      <c r="B282" s="2132"/>
      <c r="C282" s="896" t="s">
        <v>598</v>
      </c>
      <c r="D282" s="2085">
        <v>0</v>
      </c>
      <c r="E282" s="1025"/>
    </row>
    <row r="283" spans="1:5" x14ac:dyDescent="0.2">
      <c r="A283" s="2132"/>
      <c r="B283" s="2132"/>
      <c r="C283" s="896" t="s">
        <v>599</v>
      </c>
      <c r="D283" s="2085">
        <v>0</v>
      </c>
      <c r="E283" s="1025"/>
    </row>
    <row r="284" spans="1:5" x14ac:dyDescent="0.2">
      <c r="A284" s="2132"/>
      <c r="B284" s="2132"/>
      <c r="C284" s="896" t="s">
        <v>600</v>
      </c>
      <c r="D284" s="2085">
        <v>0</v>
      </c>
      <c r="E284" s="1025"/>
    </row>
    <row r="285" spans="1:5" ht="13.5" thickBot="1" x14ac:dyDescent="0.25">
      <c r="A285" s="2133"/>
      <c r="B285" s="2133"/>
      <c r="C285" s="897" t="s">
        <v>601</v>
      </c>
      <c r="D285" s="2085">
        <v>0</v>
      </c>
      <c r="E285" s="1025"/>
    </row>
    <row r="286" spans="1:5" ht="26.25" thickBot="1" x14ac:dyDescent="0.25">
      <c r="A286" s="2131" t="s">
        <v>602</v>
      </c>
      <c r="B286" s="2131" t="s">
        <v>8404</v>
      </c>
      <c r="C286" s="1114" t="s">
        <v>603</v>
      </c>
      <c r="D286" s="2076"/>
      <c r="E286" s="1025"/>
    </row>
    <row r="287" spans="1:5" x14ac:dyDescent="0.2">
      <c r="A287" s="2132"/>
      <c r="B287" s="2140"/>
      <c r="C287" s="1121" t="s">
        <v>604</v>
      </c>
      <c r="D287" s="2085">
        <v>0</v>
      </c>
      <c r="E287" s="1025"/>
    </row>
    <row r="288" spans="1:5" x14ac:dyDescent="0.2">
      <c r="A288" s="2132"/>
      <c r="B288" s="2132"/>
      <c r="C288" s="896" t="s">
        <v>605</v>
      </c>
      <c r="D288" s="2085">
        <v>0</v>
      </c>
      <c r="E288" s="1025"/>
    </row>
    <row r="289" spans="1:5" x14ac:dyDescent="0.2">
      <c r="A289" s="2132"/>
      <c r="B289" s="2132"/>
      <c r="C289" s="896" t="s">
        <v>606</v>
      </c>
      <c r="D289" s="2085">
        <v>0</v>
      </c>
      <c r="E289" s="1025"/>
    </row>
    <row r="290" spans="1:5" x14ac:dyDescent="0.2">
      <c r="A290" s="2132"/>
      <c r="B290" s="2132"/>
      <c r="C290" s="896" t="s">
        <v>607</v>
      </c>
      <c r="D290" s="2085">
        <v>0</v>
      </c>
      <c r="E290" s="1025"/>
    </row>
    <row r="291" spans="1:5" x14ac:dyDescent="0.2">
      <c r="A291" s="2132"/>
      <c r="B291" s="2132"/>
      <c r="C291" s="896" t="s">
        <v>608</v>
      </c>
      <c r="D291" s="2085">
        <v>0</v>
      </c>
      <c r="E291" s="1025"/>
    </row>
    <row r="292" spans="1:5" ht="13.5" thickBot="1" x14ac:dyDescent="0.25">
      <c r="A292" s="2132"/>
      <c r="B292" s="2132"/>
      <c r="C292" s="897" t="s">
        <v>609</v>
      </c>
      <c r="D292" s="2085">
        <v>0</v>
      </c>
      <c r="E292" s="1025"/>
    </row>
    <row r="293" spans="1:5" ht="13.5" thickBot="1" x14ac:dyDescent="0.25">
      <c r="A293" s="2133"/>
      <c r="B293" s="2133"/>
      <c r="C293" s="653" t="s">
        <v>610</v>
      </c>
      <c r="D293" s="2105"/>
      <c r="E293" s="1025"/>
    </row>
    <row r="294" spans="1:5" ht="13.5" thickBot="1" x14ac:dyDescent="0.25">
      <c r="A294" s="2131" t="s">
        <v>611</v>
      </c>
      <c r="B294" s="2131" t="s">
        <v>8405</v>
      </c>
      <c r="C294" s="1115" t="s">
        <v>612</v>
      </c>
      <c r="D294" s="2076"/>
      <c r="E294" s="1124"/>
    </row>
    <row r="295" spans="1:5" s="3" customFormat="1" x14ac:dyDescent="0.2">
      <c r="A295" s="2132"/>
      <c r="B295" s="2132"/>
      <c r="C295" s="1107" t="s">
        <v>613</v>
      </c>
      <c r="D295" s="2085">
        <v>0</v>
      </c>
      <c r="E295" s="1124"/>
    </row>
    <row r="296" spans="1:5" s="3" customFormat="1" x14ac:dyDescent="0.2">
      <c r="A296" s="2132"/>
      <c r="B296" s="2132"/>
      <c r="C296" s="896" t="s">
        <v>614</v>
      </c>
      <c r="D296" s="2085">
        <v>0</v>
      </c>
      <c r="E296" s="1124"/>
    </row>
    <row r="297" spans="1:5" s="3" customFormat="1" x14ac:dyDescent="0.2">
      <c r="A297" s="2132"/>
      <c r="B297" s="2132"/>
      <c r="C297" s="896" t="s">
        <v>615</v>
      </c>
      <c r="D297" s="2085">
        <v>0</v>
      </c>
      <c r="E297" s="1124"/>
    </row>
    <row r="298" spans="1:5" s="3" customFormat="1" ht="13.5" thickBot="1" x14ac:dyDescent="0.25">
      <c r="A298" s="2132"/>
      <c r="B298" s="2132"/>
      <c r="C298" s="1108" t="s">
        <v>616</v>
      </c>
      <c r="D298" s="2085">
        <v>0</v>
      </c>
      <c r="E298" s="1124"/>
    </row>
    <row r="299" spans="1:5" s="3" customFormat="1" ht="39" thickBot="1" x14ac:dyDescent="0.25">
      <c r="A299" s="2133"/>
      <c r="B299" s="2133"/>
      <c r="C299" s="653" t="s">
        <v>617</v>
      </c>
      <c r="D299" s="2105"/>
      <c r="E299" s="1124"/>
    </row>
    <row r="300" spans="1:5" ht="26.25" thickBot="1" x14ac:dyDescent="0.25">
      <c r="A300" s="2134" t="s">
        <v>618</v>
      </c>
      <c r="B300" s="2134" t="s">
        <v>8406</v>
      </c>
      <c r="C300" s="653" t="s">
        <v>619</v>
      </c>
      <c r="D300" s="2076"/>
      <c r="E300" s="1025"/>
    </row>
    <row r="301" spans="1:5" x14ac:dyDescent="0.2">
      <c r="A301" s="2135"/>
      <c r="B301" s="2135"/>
      <c r="C301" s="1107" t="s">
        <v>620</v>
      </c>
      <c r="D301" s="2083">
        <v>0</v>
      </c>
      <c r="E301" s="1025"/>
    </row>
    <row r="302" spans="1:5" x14ac:dyDescent="0.2">
      <c r="A302" s="2135"/>
      <c r="B302" s="2135"/>
      <c r="C302" s="896" t="s">
        <v>621</v>
      </c>
      <c r="D302" s="2083">
        <v>0</v>
      </c>
      <c r="E302" s="1025"/>
    </row>
    <row r="303" spans="1:5" ht="13.5" thickBot="1" x14ac:dyDescent="0.25">
      <c r="A303" s="2136"/>
      <c r="B303" s="2136"/>
      <c r="C303" s="897" t="s">
        <v>622</v>
      </c>
      <c r="D303" s="2083">
        <v>0</v>
      </c>
      <c r="E303" s="1025"/>
    </row>
    <row r="304" spans="1:5" ht="13.5" thickBot="1" x14ac:dyDescent="0.25">
      <c r="A304" s="2137" t="s">
        <v>623</v>
      </c>
      <c r="B304" s="2137" t="s">
        <v>8382</v>
      </c>
      <c r="C304" s="653" t="s">
        <v>624</v>
      </c>
      <c r="D304" s="2078">
        <v>0</v>
      </c>
      <c r="E304" s="1025"/>
    </row>
    <row r="305" spans="1:5" ht="25.5" x14ac:dyDescent="0.2">
      <c r="A305" s="2135"/>
      <c r="B305" s="2135"/>
      <c r="C305" s="1107" t="s">
        <v>625</v>
      </c>
      <c r="D305" s="2085">
        <v>0</v>
      </c>
      <c r="E305" s="1025"/>
    </row>
    <row r="306" spans="1:5" ht="25.5" x14ac:dyDescent="0.2">
      <c r="A306" s="2135"/>
      <c r="B306" s="2135"/>
      <c r="C306" s="896" t="s">
        <v>626</v>
      </c>
      <c r="D306" s="2085">
        <v>0</v>
      </c>
      <c r="E306" s="1025"/>
    </row>
    <row r="307" spans="1:5" ht="26.25" thickBot="1" x14ac:dyDescent="0.25">
      <c r="A307" s="2136"/>
      <c r="B307" s="2136"/>
      <c r="C307" s="897" t="s">
        <v>627</v>
      </c>
      <c r="D307" s="2077">
        <v>0</v>
      </c>
      <c r="E307" s="1025"/>
    </row>
    <row r="308" spans="1:5" ht="13.5" thickBot="1" x14ac:dyDescent="0.25">
      <c r="A308" s="2131" t="s">
        <v>628</v>
      </c>
      <c r="B308" s="2131" t="s">
        <v>8381</v>
      </c>
      <c r="C308" s="653" t="s">
        <v>8994</v>
      </c>
      <c r="D308" s="2078">
        <v>0</v>
      </c>
      <c r="E308" s="1025"/>
    </row>
    <row r="309" spans="1:5" x14ac:dyDescent="0.2">
      <c r="A309" s="2132"/>
      <c r="B309" s="2132"/>
      <c r="C309" s="1107" t="s">
        <v>629</v>
      </c>
      <c r="D309" s="2083">
        <v>0</v>
      </c>
      <c r="E309" s="1025"/>
    </row>
    <row r="310" spans="1:5" ht="13.5" thickBot="1" x14ac:dyDescent="0.25">
      <c r="A310" s="2132"/>
      <c r="B310" s="2132"/>
      <c r="C310" s="1225" t="s">
        <v>630</v>
      </c>
      <c r="D310" s="2083">
        <v>0</v>
      </c>
      <c r="E310" s="1025"/>
    </row>
    <row r="311" spans="1:5" x14ac:dyDescent="0.2">
      <c r="A311" s="2132"/>
      <c r="B311" s="2132"/>
      <c r="C311" s="895" t="s">
        <v>631</v>
      </c>
      <c r="D311" s="2083">
        <v>0</v>
      </c>
      <c r="E311" s="1025"/>
    </row>
    <row r="312" spans="1:5" ht="13.5" thickBot="1" x14ac:dyDescent="0.25">
      <c r="A312" s="2132"/>
      <c r="B312" s="2132"/>
      <c r="C312" s="1225" t="s">
        <v>632</v>
      </c>
      <c r="D312" s="2083">
        <v>0</v>
      </c>
      <c r="E312" s="1025"/>
    </row>
    <row r="313" spans="1:5" x14ac:dyDescent="0.2">
      <c r="A313" s="2132"/>
      <c r="B313" s="2132"/>
      <c r="C313" s="503" t="s">
        <v>633</v>
      </c>
      <c r="D313" s="2083">
        <v>0</v>
      </c>
      <c r="E313" s="1025"/>
    </row>
    <row r="314" spans="1:5" ht="13.5" thickBot="1" x14ac:dyDescent="0.25">
      <c r="A314" s="2132"/>
      <c r="B314" s="2132"/>
      <c r="C314" s="1109" t="s">
        <v>634</v>
      </c>
      <c r="D314" s="2085">
        <v>0</v>
      </c>
      <c r="E314" s="1025"/>
    </row>
    <row r="315" spans="1:5" ht="39" thickBot="1" x14ac:dyDescent="0.25">
      <c r="A315" s="2133"/>
      <c r="B315" s="2133"/>
      <c r="C315" s="1110" t="s">
        <v>635</v>
      </c>
      <c r="D315" s="2105"/>
      <c r="E315" s="1025"/>
    </row>
    <row r="316" spans="1:5" ht="26.25" thickBot="1" x14ac:dyDescent="0.25">
      <c r="A316" s="2134" t="s">
        <v>636</v>
      </c>
      <c r="B316" s="2134" t="s">
        <v>637</v>
      </c>
      <c r="C316" s="1115" t="s">
        <v>638</v>
      </c>
      <c r="D316" s="2076"/>
      <c r="E316" s="1025"/>
    </row>
    <row r="317" spans="1:5" x14ac:dyDescent="0.2">
      <c r="A317" s="2135"/>
      <c r="B317" s="2135"/>
      <c r="C317" s="1107" t="s">
        <v>639</v>
      </c>
      <c r="D317" s="2085">
        <v>0</v>
      </c>
      <c r="E317" s="1025"/>
    </row>
    <row r="318" spans="1:5" x14ac:dyDescent="0.2">
      <c r="A318" s="2135"/>
      <c r="B318" s="2135"/>
      <c r="C318" s="896" t="s">
        <v>640</v>
      </c>
      <c r="D318" s="2083">
        <v>0</v>
      </c>
      <c r="E318" s="1025"/>
    </row>
    <row r="319" spans="1:5" x14ac:dyDescent="0.2">
      <c r="A319" s="2135"/>
      <c r="B319" s="2135"/>
      <c r="C319" s="896" t="s">
        <v>641</v>
      </c>
      <c r="D319" s="2083">
        <v>0</v>
      </c>
      <c r="E319" s="1025"/>
    </row>
    <row r="320" spans="1:5" ht="13.5" thickBot="1" x14ac:dyDescent="0.25">
      <c r="A320" s="2136"/>
      <c r="B320" s="2136"/>
      <c r="C320" s="897" t="s">
        <v>642</v>
      </c>
      <c r="D320" s="2089">
        <v>0</v>
      </c>
      <c r="E320" s="1025"/>
    </row>
    <row r="321" spans="1:5" ht="26.25" thickBot="1" x14ac:dyDescent="0.25">
      <c r="A321" s="1127" t="s">
        <v>643</v>
      </c>
      <c r="B321" s="1127" t="s">
        <v>8407</v>
      </c>
      <c r="C321" s="1134" t="s">
        <v>8998</v>
      </c>
      <c r="D321" s="2090">
        <v>0</v>
      </c>
      <c r="E321" s="1025"/>
    </row>
    <row r="322" spans="1:5" ht="45.75" thickBot="1" x14ac:dyDescent="0.25">
      <c r="A322" s="1131" t="s">
        <v>644</v>
      </c>
      <c r="B322" s="1131" t="s">
        <v>8379</v>
      </c>
      <c r="C322" s="653" t="s">
        <v>8999</v>
      </c>
      <c r="D322" s="2091">
        <v>0</v>
      </c>
      <c r="E322" s="1025"/>
    </row>
    <row r="323" spans="1:5" ht="13.5" thickBot="1" x14ac:dyDescent="0.25">
      <c r="A323" s="2131" t="s">
        <v>645</v>
      </c>
      <c r="B323" s="2131" t="s">
        <v>8380</v>
      </c>
      <c r="C323" s="1115" t="s">
        <v>646</v>
      </c>
      <c r="D323" s="2078"/>
      <c r="E323" s="1025"/>
    </row>
    <row r="324" spans="1:5" ht="15" customHeight="1" x14ac:dyDescent="0.2">
      <c r="A324" s="2132"/>
      <c r="B324" s="2132"/>
      <c r="C324" s="1107" t="s">
        <v>647</v>
      </c>
      <c r="D324" s="2083">
        <v>0</v>
      </c>
      <c r="E324" s="1025"/>
    </row>
    <row r="325" spans="1:5" ht="15" customHeight="1" x14ac:dyDescent="0.2">
      <c r="A325" s="2132"/>
      <c r="B325" s="2132"/>
      <c r="C325" s="896" t="s">
        <v>648</v>
      </c>
      <c r="D325" s="2083">
        <v>0</v>
      </c>
      <c r="E325" s="1025"/>
    </row>
    <row r="326" spans="1:5" ht="15" customHeight="1" x14ac:dyDescent="0.2">
      <c r="A326" s="2132"/>
      <c r="B326" s="2132"/>
      <c r="C326" s="896" t="s">
        <v>649</v>
      </c>
      <c r="D326" s="2083">
        <v>0</v>
      </c>
      <c r="E326" s="1025"/>
    </row>
    <row r="327" spans="1:5" ht="15" customHeight="1" x14ac:dyDescent="0.2">
      <c r="A327" s="2132"/>
      <c r="B327" s="2132"/>
      <c r="C327" s="896" t="s">
        <v>650</v>
      </c>
      <c r="D327" s="2083">
        <v>0</v>
      </c>
      <c r="E327" s="1025"/>
    </row>
    <row r="328" spans="1:5" ht="15" customHeight="1" x14ac:dyDescent="0.2">
      <c r="A328" s="2132"/>
      <c r="B328" s="2132"/>
      <c r="C328" s="896" t="s">
        <v>651</v>
      </c>
      <c r="D328" s="2083">
        <v>0</v>
      </c>
      <c r="E328" s="1025"/>
    </row>
    <row r="329" spans="1:5" ht="15" customHeight="1" x14ac:dyDescent="0.2">
      <c r="A329" s="2132"/>
      <c r="B329" s="2132"/>
      <c r="C329" s="896" t="s">
        <v>652</v>
      </c>
      <c r="D329" s="2085">
        <v>0</v>
      </c>
      <c r="E329" s="1025"/>
    </row>
    <row r="330" spans="1:5" ht="15" customHeight="1" thickBot="1" x14ac:dyDescent="0.25">
      <c r="A330" s="2132"/>
      <c r="B330" s="2132"/>
      <c r="C330" s="1108" t="s">
        <v>653</v>
      </c>
      <c r="D330" s="2085">
        <v>0</v>
      </c>
      <c r="E330" s="1025"/>
    </row>
    <row r="331" spans="1:5" ht="26.25" thickBot="1" x14ac:dyDescent="0.25">
      <c r="A331" s="2133"/>
      <c r="B331" s="2133"/>
      <c r="C331" s="653" t="s">
        <v>654</v>
      </c>
      <c r="D331" s="2105"/>
      <c r="E331" s="1025"/>
    </row>
    <row r="332" spans="1:5" ht="42.75" customHeight="1" thickBot="1" x14ac:dyDescent="0.25">
      <c r="A332" s="1126" t="s">
        <v>655</v>
      </c>
      <c r="B332" s="1126" t="s">
        <v>656</v>
      </c>
      <c r="C332" s="1139" t="s">
        <v>657</v>
      </c>
      <c r="D332" s="2100">
        <v>0</v>
      </c>
      <c r="E332" s="1025"/>
    </row>
    <row r="333" spans="1:5" ht="26.25" thickBot="1" x14ac:dyDescent="0.25">
      <c r="A333" s="2131" t="s">
        <v>658</v>
      </c>
      <c r="B333" s="2131" t="s">
        <v>659</v>
      </c>
      <c r="C333" s="653" t="s">
        <v>660</v>
      </c>
      <c r="D333" s="2076"/>
      <c r="E333" s="1025"/>
    </row>
    <row r="334" spans="1:5" x14ac:dyDescent="0.2">
      <c r="A334" s="2132"/>
      <c r="B334" s="2132"/>
      <c r="C334" s="895" t="s">
        <v>661</v>
      </c>
      <c r="D334" s="2099">
        <v>0</v>
      </c>
      <c r="E334" s="1025"/>
    </row>
    <row r="335" spans="1:5" x14ac:dyDescent="0.2">
      <c r="A335" s="2132"/>
      <c r="B335" s="2132"/>
      <c r="C335" s="896" t="s">
        <v>662</v>
      </c>
      <c r="D335" s="2085">
        <v>0</v>
      </c>
      <c r="E335" s="1025"/>
    </row>
    <row r="336" spans="1:5" ht="13.5" thickBot="1" x14ac:dyDescent="0.25">
      <c r="A336" s="2133"/>
      <c r="B336" s="2133"/>
      <c r="C336" s="897" t="s">
        <v>663</v>
      </c>
      <c r="D336" s="2093">
        <v>0</v>
      </c>
      <c r="E336" s="1025"/>
    </row>
    <row r="337" spans="1:5" ht="13.5" thickBot="1" x14ac:dyDescent="0.25">
      <c r="A337" s="2131" t="s">
        <v>664</v>
      </c>
      <c r="B337" s="2131" t="s">
        <v>8378</v>
      </c>
      <c r="C337" s="1115" t="s">
        <v>665</v>
      </c>
      <c r="D337" s="2076"/>
      <c r="E337" s="1025"/>
    </row>
    <row r="338" spans="1:5" s="453" customFormat="1" ht="21.75" customHeight="1" thickBot="1" x14ac:dyDescent="0.25">
      <c r="A338" s="2132"/>
      <c r="B338" s="2132"/>
      <c r="C338" s="1108" t="s">
        <v>666</v>
      </c>
      <c r="D338" s="2101"/>
      <c r="E338" s="1140"/>
    </row>
    <row r="339" spans="1:5" ht="30" customHeight="1" x14ac:dyDescent="0.2">
      <c r="A339" s="2132"/>
      <c r="B339" s="2132"/>
      <c r="C339" s="1141" t="s">
        <v>667</v>
      </c>
      <c r="D339" s="2082">
        <v>1</v>
      </c>
      <c r="E339" s="1025"/>
    </row>
    <row r="340" spans="1:5" ht="20.25" customHeight="1" thickBot="1" x14ac:dyDescent="0.25">
      <c r="A340" s="2132"/>
      <c r="B340" s="2132"/>
      <c r="C340" s="1134" t="s">
        <v>668</v>
      </c>
      <c r="D340" s="2077">
        <v>0</v>
      </c>
      <c r="E340" s="1025"/>
    </row>
    <row r="341" spans="1:5" ht="39" thickBot="1" x14ac:dyDescent="0.25">
      <c r="A341" s="2133"/>
      <c r="B341" s="2133"/>
      <c r="C341" s="653" t="s">
        <v>669</v>
      </c>
      <c r="D341" s="2105"/>
      <c r="E341" s="1025"/>
    </row>
    <row r="342" spans="1:5" s="453" customFormat="1" ht="30.75" thickBot="1" x14ac:dyDescent="0.25">
      <c r="A342" s="1131" t="s">
        <v>670</v>
      </c>
      <c r="B342" s="1131" t="s">
        <v>671</v>
      </c>
      <c r="C342" s="1142" t="s">
        <v>672</v>
      </c>
      <c r="D342" s="2102"/>
      <c r="E342" s="1140"/>
    </row>
    <row r="343" spans="1:5" s="453" customFormat="1" ht="30.75" thickBot="1" x14ac:dyDescent="0.25">
      <c r="A343" s="1131" t="s">
        <v>673</v>
      </c>
      <c r="B343" s="1131" t="s">
        <v>674</v>
      </c>
      <c r="C343" s="653" t="s">
        <v>675</v>
      </c>
      <c r="D343" s="2095"/>
      <c r="E343" s="1140"/>
    </row>
    <row r="344" spans="1:5" ht="26.25" thickBot="1" x14ac:dyDescent="0.25">
      <c r="A344" s="892" t="s">
        <v>676</v>
      </c>
      <c r="B344" s="892" t="s">
        <v>8690</v>
      </c>
      <c r="C344" s="1120" t="s">
        <v>9160</v>
      </c>
      <c r="D344" s="2095"/>
      <c r="E344" s="1140"/>
    </row>
    <row r="345" spans="1:5" ht="39" thickBot="1" x14ac:dyDescent="0.25">
      <c r="A345" s="1992" t="s">
        <v>8692</v>
      </c>
      <c r="B345" s="1991" t="s">
        <v>8691</v>
      </c>
      <c r="C345" s="1120" t="s">
        <v>9161</v>
      </c>
      <c r="D345" s="2095"/>
      <c r="E345" s="1140"/>
    </row>
    <row r="346" spans="1:5" ht="21.75" customHeight="1" thickBot="1" x14ac:dyDescent="0.25">
      <c r="A346" s="1017"/>
      <c r="B346" s="1098" t="s">
        <v>677</v>
      </c>
      <c r="C346" s="1098" t="s">
        <v>678</v>
      </c>
      <c r="D346" s="2103"/>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 ref="A239:A243"/>
    <mergeCell ref="B239:B243"/>
    <mergeCell ref="A225:A229"/>
    <mergeCell ref="B225:B229"/>
    <mergeCell ref="A255:A259"/>
    <mergeCell ref="B255:B259"/>
    <mergeCell ref="A251:A254"/>
    <mergeCell ref="A244:A249"/>
    <mergeCell ref="B244:B249"/>
    <mergeCell ref="A202:A209"/>
    <mergeCell ref="B202:B209"/>
    <mergeCell ref="A210:A216"/>
    <mergeCell ref="B210:B216"/>
    <mergeCell ref="A195:A201"/>
    <mergeCell ref="A217:A221"/>
    <mergeCell ref="B217:B221"/>
    <mergeCell ref="A232:A238"/>
    <mergeCell ref="B232:B238"/>
    <mergeCell ref="A166:A167"/>
    <mergeCell ref="B166:B167"/>
    <mergeCell ref="A168:A174"/>
    <mergeCell ref="B168:B174"/>
    <mergeCell ref="A175:A181"/>
    <mergeCell ref="B175:B181"/>
    <mergeCell ref="A182:A186"/>
    <mergeCell ref="B182:B186"/>
    <mergeCell ref="A187:A193"/>
    <mergeCell ref="B187:B193"/>
    <mergeCell ref="A1:C1"/>
    <mergeCell ref="A5:A12"/>
    <mergeCell ref="B5:B12"/>
    <mergeCell ref="A13:A18"/>
    <mergeCell ref="B13:B18"/>
    <mergeCell ref="A19:A27"/>
    <mergeCell ref="B19:B27"/>
    <mergeCell ref="A28:A32"/>
    <mergeCell ref="B28:B32"/>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83" t="s">
        <v>8353</v>
      </c>
      <c r="B1" s="2184"/>
      <c r="C1" s="2184"/>
      <c r="D1" s="2184"/>
      <c r="E1" s="2185"/>
    </row>
    <row r="2" spans="1:6" s="982" customFormat="1" ht="27" customHeight="1" x14ac:dyDescent="0.2">
      <c r="A2" s="1249" t="s">
        <v>53</v>
      </c>
      <c r="B2" s="1250"/>
      <c r="C2" s="2186" t="s">
        <v>679</v>
      </c>
      <c r="D2" s="2187"/>
      <c r="E2" s="2188"/>
    </row>
    <row r="3" spans="1:6" s="982" customFormat="1" ht="28.5" customHeight="1" thickBot="1" x14ac:dyDescent="0.25">
      <c r="A3" s="1251" t="s">
        <v>248</v>
      </c>
      <c r="B3" s="1252"/>
      <c r="C3" s="2189"/>
      <c r="D3" s="2190"/>
      <c r="E3" s="2191"/>
    </row>
    <row r="4" spans="1:6" s="982" customFormat="1" ht="15" customHeight="1" thickBot="1" x14ac:dyDescent="0.25">
      <c r="A4" s="546"/>
      <c r="B4" s="1253"/>
      <c r="C4" s="1253"/>
      <c r="D4" s="1253"/>
      <c r="E4" s="1253"/>
    </row>
    <row r="5" spans="1:6" s="102" customFormat="1" ht="24" customHeight="1" thickBot="1" x14ac:dyDescent="0.3">
      <c r="A5" s="2161" t="s">
        <v>680</v>
      </c>
      <c r="B5" s="2171" t="s">
        <v>681</v>
      </c>
      <c r="C5" s="2172"/>
      <c r="D5" s="2172"/>
      <c r="E5" s="2172"/>
      <c r="F5" s="1254" t="s">
        <v>58</v>
      </c>
    </row>
    <row r="6" spans="1:6" s="102" customFormat="1" ht="39.75" customHeight="1" thickBot="1" x14ac:dyDescent="0.25">
      <c r="A6" s="2162"/>
      <c r="B6" s="2168" t="s">
        <v>9138</v>
      </c>
      <c r="C6" s="2168"/>
      <c r="D6" s="2168"/>
      <c r="E6" s="2168"/>
      <c r="F6" s="1255"/>
    </row>
    <row r="7" spans="1:6" s="102" customFormat="1" ht="18" customHeight="1" x14ac:dyDescent="0.2">
      <c r="A7" s="2162"/>
      <c r="B7" s="2151" t="s">
        <v>682</v>
      </c>
      <c r="C7" s="2151"/>
      <c r="D7" s="2151"/>
      <c r="E7" s="2152"/>
      <c r="F7" s="1256"/>
    </row>
    <row r="8" spans="1:6" s="102" customFormat="1" ht="18" customHeight="1" x14ac:dyDescent="0.2">
      <c r="A8" s="2162"/>
      <c r="B8" s="2153" t="s">
        <v>683</v>
      </c>
      <c r="C8" s="2154"/>
      <c r="D8" s="2154"/>
      <c r="E8" s="2155"/>
      <c r="F8" s="1256"/>
    </row>
    <row r="9" spans="1:6" s="102" customFormat="1" ht="18" customHeight="1" x14ac:dyDescent="0.2">
      <c r="A9" s="2162"/>
      <c r="B9" s="2151" t="s">
        <v>684</v>
      </c>
      <c r="C9" s="2151"/>
      <c r="D9" s="2151"/>
      <c r="E9" s="2152"/>
      <c r="F9" s="1256"/>
    </row>
    <row r="10" spans="1:6" s="102" customFormat="1" ht="18" customHeight="1" x14ac:dyDescent="0.2">
      <c r="A10" s="2162"/>
      <c r="B10" s="2153" t="s">
        <v>685</v>
      </c>
      <c r="C10" s="2154"/>
      <c r="D10" s="2154"/>
      <c r="E10" s="2155"/>
      <c r="F10" s="1256"/>
    </row>
    <row r="11" spans="1:6" s="102" customFormat="1" ht="18" customHeight="1" x14ac:dyDescent="0.2">
      <c r="A11" s="2162"/>
      <c r="B11" s="2153" t="s">
        <v>686</v>
      </c>
      <c r="C11" s="2153"/>
      <c r="D11" s="2153"/>
      <c r="E11" s="2170"/>
      <c r="F11" s="1257"/>
    </row>
    <row r="12" spans="1:6" s="102" customFormat="1" ht="18" customHeight="1" x14ac:dyDescent="0.2">
      <c r="A12" s="2162"/>
      <c r="B12" s="2153" t="s">
        <v>687</v>
      </c>
      <c r="C12" s="2154"/>
      <c r="D12" s="2154"/>
      <c r="E12" s="2155"/>
      <c r="F12" s="1257"/>
    </row>
    <row r="13" spans="1:6" s="102" customFormat="1" ht="18" customHeight="1" x14ac:dyDescent="0.2">
      <c r="A13" s="2162"/>
      <c r="B13" s="2153" t="s">
        <v>688</v>
      </c>
      <c r="C13" s="2154"/>
      <c r="D13" s="2154"/>
      <c r="E13" s="2155"/>
      <c r="F13" s="1257"/>
    </row>
    <row r="14" spans="1:6" s="102" customFormat="1" ht="18" customHeight="1" x14ac:dyDescent="0.2">
      <c r="A14" s="2162"/>
      <c r="B14" s="2151" t="s">
        <v>689</v>
      </c>
      <c r="C14" s="2151"/>
      <c r="D14" s="2151"/>
      <c r="E14" s="2152"/>
      <c r="F14" s="1257"/>
    </row>
    <row r="15" spans="1:6" s="102" customFormat="1" ht="18" customHeight="1" x14ac:dyDescent="0.2">
      <c r="A15" s="2162"/>
      <c r="B15" s="2153" t="s">
        <v>690</v>
      </c>
      <c r="C15" s="2154"/>
      <c r="D15" s="2154"/>
      <c r="E15" s="2155"/>
      <c r="F15" s="1257"/>
    </row>
    <row r="16" spans="1:6" s="102" customFormat="1" ht="18" customHeight="1" x14ac:dyDescent="0.2">
      <c r="A16" s="2162"/>
      <c r="B16" s="2153" t="s">
        <v>691</v>
      </c>
      <c r="C16" s="2154"/>
      <c r="D16" s="2154"/>
      <c r="E16" s="2155"/>
      <c r="F16" s="1257"/>
    </row>
    <row r="17" spans="1:6" s="102" customFormat="1" ht="18" customHeight="1" thickBot="1" x14ac:dyDescent="0.25">
      <c r="A17" s="2162"/>
      <c r="B17" s="2153" t="s">
        <v>692</v>
      </c>
      <c r="C17" s="2154"/>
      <c r="D17" s="2154"/>
      <c r="E17" s="2155"/>
      <c r="F17" s="1257"/>
    </row>
    <row r="18" spans="1:6" s="102" customFormat="1" ht="39" customHeight="1" thickBot="1" x14ac:dyDescent="0.25">
      <c r="A18" s="2162"/>
      <c r="B18" s="2168" t="s">
        <v>693</v>
      </c>
      <c r="C18" s="2169"/>
      <c r="D18" s="2169"/>
      <c r="E18" s="2169"/>
      <c r="F18" s="1258"/>
    </row>
    <row r="19" spans="1:6" s="102" customFormat="1" ht="18" customHeight="1" thickBot="1" x14ac:dyDescent="0.25">
      <c r="A19" s="2162"/>
      <c r="B19" s="1259"/>
      <c r="C19" s="1260" t="s">
        <v>694</v>
      </c>
      <c r="D19" s="1261" t="s">
        <v>695</v>
      </c>
      <c r="E19" s="1262" t="s">
        <v>696</v>
      </c>
      <c r="F19" s="1258"/>
    </row>
    <row r="20" spans="1:6" s="102" customFormat="1" ht="30" customHeight="1" x14ac:dyDescent="0.2">
      <c r="A20" s="2162"/>
      <c r="B20" s="1263" t="s">
        <v>697</v>
      </c>
      <c r="C20" s="1264" t="s">
        <v>698</v>
      </c>
      <c r="D20" s="1264" t="s">
        <v>699</v>
      </c>
      <c r="E20" s="1265" t="s">
        <v>700</v>
      </c>
      <c r="F20" s="1266">
        <v>1</v>
      </c>
    </row>
    <row r="21" spans="1:6" s="102" customFormat="1" ht="18" customHeight="1" x14ac:dyDescent="0.2">
      <c r="A21" s="2162"/>
      <c r="B21" s="1263" t="s">
        <v>701</v>
      </c>
      <c r="C21" s="1267" t="s">
        <v>702</v>
      </c>
      <c r="D21" s="1267" t="s">
        <v>703</v>
      </c>
      <c r="E21" s="1268" t="s">
        <v>704</v>
      </c>
      <c r="F21" s="1266">
        <v>0</v>
      </c>
    </row>
    <row r="22" spans="1:6" s="102" customFormat="1" ht="15" customHeight="1" x14ac:dyDescent="0.2">
      <c r="A22" s="2162"/>
      <c r="B22" s="2158" t="s">
        <v>705</v>
      </c>
      <c r="C22" s="2158"/>
      <c r="D22" s="2158"/>
      <c r="E22" s="2158"/>
      <c r="F22" s="1258"/>
    </row>
    <row r="23" spans="1:6" s="102" customFormat="1" ht="18" customHeight="1" x14ac:dyDescent="0.2">
      <c r="A23" s="2162"/>
      <c r="B23" s="1263" t="s">
        <v>706</v>
      </c>
      <c r="C23" s="1264" t="s">
        <v>707</v>
      </c>
      <c r="D23" s="1264" t="s">
        <v>708</v>
      </c>
      <c r="E23" s="1269" t="s">
        <v>709</v>
      </c>
      <c r="F23" s="1266">
        <v>0</v>
      </c>
    </row>
    <row r="24" spans="1:6" s="102" customFormat="1" ht="18" customHeight="1" x14ac:dyDescent="0.2">
      <c r="A24" s="2162"/>
      <c r="B24" s="1263" t="s">
        <v>710</v>
      </c>
      <c r="C24" s="1264" t="s">
        <v>711</v>
      </c>
      <c r="D24" s="1264" t="s">
        <v>712</v>
      </c>
      <c r="E24" s="1269" t="s">
        <v>713</v>
      </c>
      <c r="F24" s="1266">
        <v>0</v>
      </c>
    </row>
    <row r="25" spans="1:6" s="102" customFormat="1" ht="18" customHeight="1" thickBot="1" x14ac:dyDescent="0.25">
      <c r="A25" s="2162"/>
      <c r="B25" s="2165" t="s">
        <v>714</v>
      </c>
      <c r="C25" s="2166"/>
      <c r="D25" s="2166"/>
      <c r="E25" s="2167"/>
      <c r="F25" s="1270">
        <v>1</v>
      </c>
    </row>
    <row r="26" spans="1:6" s="893" customFormat="1" ht="21" customHeight="1" thickBot="1" x14ac:dyDescent="0.25">
      <c r="A26" s="2125"/>
      <c r="B26" s="2159"/>
      <c r="C26" s="2160"/>
      <c r="D26" s="2160"/>
      <c r="E26" s="1271" t="s">
        <v>715</v>
      </c>
      <c r="F26" s="1272">
        <v>0.16666666666666666</v>
      </c>
    </row>
    <row r="27" spans="1:6" s="102" customFormat="1" ht="24" customHeight="1" thickBot="1" x14ac:dyDescent="0.25">
      <c r="A27" s="2175" t="s">
        <v>716</v>
      </c>
      <c r="B27" s="2156" t="s">
        <v>717</v>
      </c>
      <c r="C27" s="2157"/>
      <c r="D27" s="2157"/>
      <c r="E27" s="2157"/>
      <c r="F27" s="1258"/>
    </row>
    <row r="28" spans="1:6" s="102" customFormat="1" ht="30.75" customHeight="1" thickBot="1" x14ac:dyDescent="0.25">
      <c r="A28" s="2176"/>
      <c r="B28" s="2168" t="s">
        <v>718</v>
      </c>
      <c r="C28" s="2169"/>
      <c r="D28" s="2169"/>
      <c r="E28" s="2169"/>
      <c r="F28" s="1258"/>
    </row>
    <row r="29" spans="1:6" s="102" customFormat="1" ht="18" customHeight="1" x14ac:dyDescent="0.2">
      <c r="A29" s="2176"/>
      <c r="B29" s="2163" t="s">
        <v>719</v>
      </c>
      <c r="C29" s="2164"/>
      <c r="D29" s="2164"/>
      <c r="E29" s="2164"/>
      <c r="F29" s="1256"/>
    </row>
    <row r="30" spans="1:6" s="102" customFormat="1" ht="18" customHeight="1" x14ac:dyDescent="0.2">
      <c r="A30" s="2176"/>
      <c r="B30" s="2173" t="s">
        <v>720</v>
      </c>
      <c r="C30" s="2174"/>
      <c r="D30" s="2174"/>
      <c r="E30" s="2174"/>
      <c r="F30" s="1256"/>
    </row>
    <row r="31" spans="1:6" s="102" customFormat="1" ht="18" customHeight="1" x14ac:dyDescent="0.2">
      <c r="A31" s="2176"/>
      <c r="B31" s="2173" t="s">
        <v>721</v>
      </c>
      <c r="C31" s="2174"/>
      <c r="D31" s="2174"/>
      <c r="E31" s="2174"/>
      <c r="F31" s="1256"/>
    </row>
    <row r="32" spans="1:6" s="102" customFormat="1" ht="18" customHeight="1" thickBot="1" x14ac:dyDescent="0.25">
      <c r="A32" s="2176"/>
      <c r="B32" s="2178" t="s">
        <v>722</v>
      </c>
      <c r="C32" s="2179"/>
      <c r="D32" s="2179"/>
      <c r="E32" s="2179"/>
      <c r="F32" s="1256"/>
    </row>
    <row r="33" spans="1:6" s="102" customFormat="1" ht="42" customHeight="1" thickBot="1" x14ac:dyDescent="0.25">
      <c r="A33" s="2176"/>
      <c r="B33" s="2168" t="s">
        <v>723</v>
      </c>
      <c r="C33" s="2169"/>
      <c r="D33" s="2169"/>
      <c r="E33" s="2169"/>
      <c r="F33" s="1258"/>
    </row>
    <row r="34" spans="1:6" s="102" customFormat="1" ht="18" customHeight="1" thickBot="1" x14ac:dyDescent="0.25">
      <c r="A34" s="2176"/>
      <c r="B34" s="1259"/>
      <c r="C34" s="1260" t="s">
        <v>694</v>
      </c>
      <c r="D34" s="1261" t="s">
        <v>695</v>
      </c>
      <c r="E34" s="1262" t="s">
        <v>696</v>
      </c>
      <c r="F34" s="1258"/>
    </row>
    <row r="35" spans="1:6" s="103" customFormat="1" ht="27" customHeight="1" x14ac:dyDescent="0.2">
      <c r="A35" s="2176"/>
      <c r="B35" s="1263" t="s">
        <v>724</v>
      </c>
      <c r="C35" s="1269" t="s">
        <v>725</v>
      </c>
      <c r="D35" s="1307" t="s">
        <v>726</v>
      </c>
      <c r="E35" s="1304" t="s">
        <v>727</v>
      </c>
      <c r="F35" s="1273">
        <v>0</v>
      </c>
    </row>
    <row r="36" spans="1:6" s="103" customFormat="1" ht="18" customHeight="1" x14ac:dyDescent="0.2">
      <c r="A36" s="2176"/>
      <c r="B36" s="1263" t="s">
        <v>728</v>
      </c>
      <c r="C36" s="1269" t="s">
        <v>729</v>
      </c>
      <c r="D36" s="1264" t="s">
        <v>730</v>
      </c>
      <c r="E36" s="1305" t="s">
        <v>731</v>
      </c>
      <c r="F36" s="1273">
        <v>0</v>
      </c>
    </row>
    <row r="37" spans="1:6" s="103" customFormat="1" ht="27" customHeight="1" thickBot="1" x14ac:dyDescent="0.25">
      <c r="A37" s="2176"/>
      <c r="B37" s="1263" t="s">
        <v>732</v>
      </c>
      <c r="C37" s="1274" t="s">
        <v>733</v>
      </c>
      <c r="D37" s="1308" t="s">
        <v>734</v>
      </c>
      <c r="E37" s="1306" t="s">
        <v>735</v>
      </c>
      <c r="F37" s="1273">
        <v>0</v>
      </c>
    </row>
    <row r="38" spans="1:6" s="103" customFormat="1" ht="18" customHeight="1" thickBot="1" x14ac:dyDescent="0.25">
      <c r="A38" s="2176"/>
      <c r="B38" s="2166" t="s">
        <v>714</v>
      </c>
      <c r="C38" s="2166"/>
      <c r="D38" s="2166"/>
      <c r="E38" s="2167"/>
      <c r="F38" s="1270">
        <v>0</v>
      </c>
    </row>
    <row r="39" spans="1:6" s="893" customFormat="1" ht="21" customHeight="1" thickBot="1" x14ac:dyDescent="0.25">
      <c r="A39" s="2177"/>
      <c r="B39" s="2159"/>
      <c r="C39" s="2160"/>
      <c r="D39" s="2160"/>
      <c r="E39" s="1271" t="s">
        <v>715</v>
      </c>
      <c r="F39" s="1272">
        <v>0</v>
      </c>
    </row>
    <row r="40" spans="1:6" s="102" customFormat="1" ht="24" customHeight="1" thickBot="1" x14ac:dyDescent="0.25">
      <c r="A40" s="2161" t="s">
        <v>736</v>
      </c>
      <c r="B40" s="2156" t="s">
        <v>737</v>
      </c>
      <c r="C40" s="2157"/>
      <c r="D40" s="2157"/>
      <c r="E40" s="2157"/>
      <c r="F40" s="1258"/>
    </row>
    <row r="41" spans="1:6" s="102" customFormat="1" ht="21" customHeight="1" thickBot="1" x14ac:dyDescent="0.25">
      <c r="A41" s="2162"/>
      <c r="B41" s="2168" t="s">
        <v>9137</v>
      </c>
      <c r="C41" s="2169"/>
      <c r="D41" s="2169"/>
      <c r="E41" s="2169"/>
      <c r="F41" s="1258"/>
    </row>
    <row r="42" spans="1:6" s="102" customFormat="1" ht="18" customHeight="1" x14ac:dyDescent="0.2">
      <c r="A42" s="2162"/>
      <c r="B42" s="2163" t="s">
        <v>738</v>
      </c>
      <c r="C42" s="2164"/>
      <c r="D42" s="2164"/>
      <c r="E42" s="2164"/>
      <c r="F42" s="1256"/>
    </row>
    <row r="43" spans="1:6" s="102" customFormat="1" ht="18" customHeight="1" x14ac:dyDescent="0.2">
      <c r="A43" s="2162"/>
      <c r="B43" s="2173" t="s">
        <v>739</v>
      </c>
      <c r="C43" s="2174"/>
      <c r="D43" s="2174"/>
      <c r="E43" s="2174"/>
      <c r="F43" s="1256"/>
    </row>
    <row r="44" spans="1:6" s="102" customFormat="1" ht="18" customHeight="1" x14ac:dyDescent="0.2">
      <c r="A44" s="2162"/>
      <c r="B44" s="2173" t="s">
        <v>740</v>
      </c>
      <c r="C44" s="2174"/>
      <c r="D44" s="2174"/>
      <c r="E44" s="2174"/>
      <c r="F44" s="1256"/>
    </row>
    <row r="45" spans="1:6" s="102" customFormat="1" ht="18" customHeight="1" thickBot="1" x14ac:dyDescent="0.25">
      <c r="A45" s="2162"/>
      <c r="B45" s="2178" t="s">
        <v>741</v>
      </c>
      <c r="C45" s="2179"/>
      <c r="D45" s="2179"/>
      <c r="E45" s="2179"/>
      <c r="F45" s="1256"/>
    </row>
    <row r="46" spans="1:6" s="102" customFormat="1" ht="42" customHeight="1" thickBot="1" x14ac:dyDescent="0.25">
      <c r="A46" s="2162"/>
      <c r="B46" s="2168" t="s">
        <v>742</v>
      </c>
      <c r="C46" s="2169"/>
      <c r="D46" s="2169"/>
      <c r="E46" s="2169"/>
      <c r="F46" s="1258"/>
    </row>
    <row r="47" spans="1:6" s="102" customFormat="1" ht="18" customHeight="1" thickBot="1" x14ac:dyDescent="0.25">
      <c r="A47" s="2162"/>
      <c r="B47" s="1259"/>
      <c r="C47" s="1260" t="s">
        <v>694</v>
      </c>
      <c r="D47" s="1261" t="s">
        <v>695</v>
      </c>
      <c r="E47" s="1262" t="s">
        <v>696</v>
      </c>
      <c r="F47" s="1258"/>
    </row>
    <row r="48" spans="1:6" s="102" customFormat="1" ht="40.5" customHeight="1" x14ac:dyDescent="0.2">
      <c r="A48" s="2162"/>
      <c r="B48" s="1263" t="s">
        <v>743</v>
      </c>
      <c r="C48" s="1269" t="s">
        <v>9001</v>
      </c>
      <c r="D48" s="1265" t="s">
        <v>744</v>
      </c>
      <c r="E48" s="1304" t="s">
        <v>9000</v>
      </c>
      <c r="F48" s="1273">
        <v>0</v>
      </c>
    </row>
    <row r="49" spans="1:6" s="102" customFormat="1" ht="18" customHeight="1" x14ac:dyDescent="0.2">
      <c r="A49" s="2162"/>
      <c r="B49" s="1263" t="s">
        <v>728</v>
      </c>
      <c r="C49" s="1269" t="s">
        <v>729</v>
      </c>
      <c r="D49" s="1269" t="s">
        <v>730</v>
      </c>
      <c r="E49" s="1305" t="s">
        <v>731</v>
      </c>
      <c r="F49" s="1273">
        <v>0</v>
      </c>
    </row>
    <row r="50" spans="1:6" s="102" customFormat="1" ht="32.25" customHeight="1" thickBot="1" x14ac:dyDescent="0.25">
      <c r="A50" s="2162"/>
      <c r="B50" s="1263" t="s">
        <v>732</v>
      </c>
      <c r="C50" s="1274" t="s">
        <v>733</v>
      </c>
      <c r="D50" s="1309" t="s">
        <v>734</v>
      </c>
      <c r="E50" s="1306" t="s">
        <v>735</v>
      </c>
      <c r="F50" s="1273">
        <v>0</v>
      </c>
    </row>
    <row r="51" spans="1:6" s="102" customFormat="1" ht="18" customHeight="1" thickBot="1" x14ac:dyDescent="0.25">
      <c r="A51" s="2162"/>
      <c r="B51" s="2166" t="s">
        <v>714</v>
      </c>
      <c r="C51" s="2166"/>
      <c r="D51" s="2166"/>
      <c r="E51" s="2167"/>
      <c r="F51" s="1270">
        <v>0</v>
      </c>
    </row>
    <row r="52" spans="1:6" s="893" customFormat="1" ht="21" customHeight="1" thickBot="1" x14ac:dyDescent="0.25">
      <c r="A52" s="2125"/>
      <c r="B52" s="2159"/>
      <c r="C52" s="2160"/>
      <c r="D52" s="2160"/>
      <c r="E52" s="1271" t="s">
        <v>715</v>
      </c>
      <c r="F52" s="1272">
        <v>0</v>
      </c>
    </row>
    <row r="53" spans="1:6" s="102" customFormat="1" ht="24" customHeight="1" thickBot="1" x14ac:dyDescent="0.25">
      <c r="A53" s="2161" t="s">
        <v>745</v>
      </c>
      <c r="B53" s="2156" t="s">
        <v>746</v>
      </c>
      <c r="C53" s="2157"/>
      <c r="D53" s="2157"/>
      <c r="E53" s="2157"/>
      <c r="F53" s="1258"/>
    </row>
    <row r="54" spans="1:6" s="102" customFormat="1" ht="29.25" customHeight="1" thickBot="1" x14ac:dyDescent="0.25">
      <c r="A54" s="2162"/>
      <c r="B54" s="2168" t="s">
        <v>747</v>
      </c>
      <c r="C54" s="2169"/>
      <c r="D54" s="2169"/>
      <c r="E54" s="2169"/>
      <c r="F54" s="1258"/>
    </row>
    <row r="55" spans="1:6" s="102" customFormat="1" ht="18" customHeight="1" x14ac:dyDescent="0.2">
      <c r="A55" s="2162"/>
      <c r="B55" s="2163" t="s">
        <v>748</v>
      </c>
      <c r="C55" s="2164"/>
      <c r="D55" s="2164"/>
      <c r="E55" s="2164"/>
      <c r="F55" s="1256"/>
    </row>
    <row r="56" spans="1:6" s="102" customFormat="1" ht="18" customHeight="1" x14ac:dyDescent="0.2">
      <c r="A56" s="2162"/>
      <c r="B56" s="2173" t="s">
        <v>749</v>
      </c>
      <c r="C56" s="2174"/>
      <c r="D56" s="2174"/>
      <c r="E56" s="2174"/>
      <c r="F56" s="1256"/>
    </row>
    <row r="57" spans="1:6" s="102" customFormat="1" ht="18" customHeight="1" x14ac:dyDescent="0.2">
      <c r="A57" s="2162"/>
      <c r="B57" s="2173" t="s">
        <v>750</v>
      </c>
      <c r="C57" s="2174"/>
      <c r="D57" s="2174"/>
      <c r="E57" s="2174"/>
      <c r="F57" s="1256"/>
    </row>
    <row r="58" spans="1:6" s="102" customFormat="1" ht="18" customHeight="1" x14ac:dyDescent="0.2">
      <c r="A58" s="2162"/>
      <c r="B58" s="2173" t="s">
        <v>751</v>
      </c>
      <c r="C58" s="2174"/>
      <c r="D58" s="2174"/>
      <c r="E58" s="2174"/>
      <c r="F58" s="1256"/>
    </row>
    <row r="59" spans="1:6" s="102" customFormat="1" ht="18" customHeight="1" x14ac:dyDescent="0.2">
      <c r="A59" s="2162"/>
      <c r="B59" s="2173" t="s">
        <v>752</v>
      </c>
      <c r="C59" s="2174"/>
      <c r="D59" s="2174"/>
      <c r="E59" s="2174"/>
      <c r="F59" s="1256"/>
    </row>
    <row r="60" spans="1:6" s="102" customFormat="1" ht="18" customHeight="1" x14ac:dyDescent="0.2">
      <c r="A60" s="2162"/>
      <c r="B60" s="2173" t="s">
        <v>753</v>
      </c>
      <c r="C60" s="2174"/>
      <c r="D60" s="2174"/>
      <c r="E60" s="2174"/>
      <c r="F60" s="1256"/>
    </row>
    <row r="61" spans="1:6" s="102" customFormat="1" ht="18" customHeight="1" x14ac:dyDescent="0.2">
      <c r="A61" s="2162"/>
      <c r="B61" s="2173" t="s">
        <v>754</v>
      </c>
      <c r="C61" s="2174"/>
      <c r="D61" s="2174"/>
      <c r="E61" s="2174"/>
      <c r="F61" s="1256"/>
    </row>
    <row r="62" spans="1:6" s="102" customFormat="1" ht="18" customHeight="1" thickBot="1" x14ac:dyDescent="0.25">
      <c r="A62" s="2162"/>
      <c r="B62" s="2178" t="s">
        <v>755</v>
      </c>
      <c r="C62" s="2179"/>
      <c r="D62" s="2179"/>
      <c r="E62" s="2179"/>
      <c r="F62" s="1256"/>
    </row>
    <row r="63" spans="1:6" s="102" customFormat="1" ht="40.5" customHeight="1" thickBot="1" x14ac:dyDescent="0.25">
      <c r="A63" s="2162"/>
      <c r="B63" s="2168" t="s">
        <v>756</v>
      </c>
      <c r="C63" s="2157"/>
      <c r="D63" s="2157"/>
      <c r="E63" s="2157"/>
      <c r="F63" s="1258"/>
    </row>
    <row r="64" spans="1:6" s="102" customFormat="1" ht="18" customHeight="1" thickBot="1" x14ac:dyDescent="0.25">
      <c r="A64" s="2162"/>
      <c r="B64" s="1259"/>
      <c r="C64" s="1260" t="s">
        <v>694</v>
      </c>
      <c r="D64" s="1261" t="s">
        <v>695</v>
      </c>
      <c r="E64" s="1262" t="s">
        <v>696</v>
      </c>
      <c r="F64" s="1258"/>
    </row>
    <row r="65" spans="1:6" s="102" customFormat="1" ht="30" customHeight="1" x14ac:dyDescent="0.2">
      <c r="A65" s="2162"/>
      <c r="B65" s="1263" t="s">
        <v>757</v>
      </c>
      <c r="C65" s="1269" t="s">
        <v>758</v>
      </c>
      <c r="D65" s="1265" t="s">
        <v>759</v>
      </c>
      <c r="E65" s="1304" t="s">
        <v>760</v>
      </c>
      <c r="F65" s="1266">
        <v>0</v>
      </c>
    </row>
    <row r="66" spans="1:6" s="102" customFormat="1" ht="27.75" customHeight="1" x14ac:dyDescent="0.2">
      <c r="A66" s="2162"/>
      <c r="B66" s="1263" t="s">
        <v>761</v>
      </c>
      <c r="C66" s="1269" t="s">
        <v>762</v>
      </c>
      <c r="D66" s="1269" t="s">
        <v>763</v>
      </c>
      <c r="E66" s="1305" t="s">
        <v>764</v>
      </c>
      <c r="F66" s="1266">
        <v>0</v>
      </c>
    </row>
    <row r="67" spans="1:6" s="102" customFormat="1" ht="27.75" customHeight="1" x14ac:dyDescent="0.2">
      <c r="A67" s="2162"/>
      <c r="B67" s="1263" t="s">
        <v>765</v>
      </c>
      <c r="C67" s="1269" t="s">
        <v>729</v>
      </c>
      <c r="D67" s="1269" t="s">
        <v>730</v>
      </c>
      <c r="E67" s="1305" t="s">
        <v>731</v>
      </c>
      <c r="F67" s="1266">
        <v>0</v>
      </c>
    </row>
    <row r="68" spans="1:6" s="102" customFormat="1" ht="32.25" customHeight="1" thickBot="1" x14ac:dyDescent="0.25">
      <c r="A68" s="2162"/>
      <c r="B68" s="1275" t="s">
        <v>766</v>
      </c>
      <c r="C68" s="1276" t="s">
        <v>733</v>
      </c>
      <c r="D68" s="1311" t="s">
        <v>767</v>
      </c>
      <c r="E68" s="1310" t="s">
        <v>735</v>
      </c>
      <c r="F68" s="1266">
        <v>0</v>
      </c>
    </row>
    <row r="69" spans="1:6" s="102" customFormat="1" ht="30" customHeight="1" thickBot="1" x14ac:dyDescent="0.25">
      <c r="A69" s="2162"/>
      <c r="B69" s="2180" t="s">
        <v>9002</v>
      </c>
      <c r="C69" s="2157"/>
      <c r="D69" s="2157"/>
      <c r="E69" s="1277" t="s">
        <v>714</v>
      </c>
      <c r="F69" s="1270">
        <v>0</v>
      </c>
    </row>
    <row r="70" spans="1:6" s="893" customFormat="1" ht="21" customHeight="1" thickBot="1" x14ac:dyDescent="0.25">
      <c r="A70" s="2125"/>
      <c r="B70" s="2181"/>
      <c r="C70" s="2182"/>
      <c r="D70" s="2182"/>
      <c r="E70" s="1271" t="s">
        <v>715</v>
      </c>
      <c r="F70" s="1272">
        <v>0</v>
      </c>
    </row>
    <row r="71" spans="1:6" s="102" customFormat="1" ht="24" customHeight="1" thickBot="1" x14ac:dyDescent="0.25">
      <c r="A71" s="2161" t="s">
        <v>768</v>
      </c>
      <c r="B71" s="2156" t="s">
        <v>769</v>
      </c>
      <c r="C71" s="2157"/>
      <c r="D71" s="2157"/>
      <c r="E71" s="2157"/>
      <c r="F71" s="1258"/>
    </row>
    <row r="72" spans="1:6" s="102" customFormat="1" ht="30" customHeight="1" thickBot="1" x14ac:dyDescent="0.25">
      <c r="A72" s="2162"/>
      <c r="B72" s="2168" t="s">
        <v>9135</v>
      </c>
      <c r="C72" s="2169"/>
      <c r="D72" s="2169"/>
      <c r="E72" s="2169"/>
      <c r="F72" s="1258"/>
    </row>
    <row r="73" spans="1:6" s="102" customFormat="1" ht="18" customHeight="1" x14ac:dyDescent="0.2">
      <c r="A73" s="2162"/>
      <c r="B73" s="2163" t="s">
        <v>770</v>
      </c>
      <c r="C73" s="2164"/>
      <c r="D73" s="2164"/>
      <c r="E73" s="2164"/>
      <c r="F73" s="1256"/>
    </row>
    <row r="74" spans="1:6" s="102" customFormat="1" ht="18" customHeight="1" x14ac:dyDescent="0.2">
      <c r="A74" s="2162"/>
      <c r="B74" s="2173" t="s">
        <v>771</v>
      </c>
      <c r="C74" s="2174"/>
      <c r="D74" s="2174"/>
      <c r="E74" s="2174"/>
      <c r="F74" s="1256"/>
    </row>
    <row r="75" spans="1:6" s="102" customFormat="1" ht="18" customHeight="1" x14ac:dyDescent="0.2">
      <c r="A75" s="2162"/>
      <c r="B75" s="2173" t="s">
        <v>772</v>
      </c>
      <c r="C75" s="2174"/>
      <c r="D75" s="2174"/>
      <c r="E75" s="2174"/>
      <c r="F75" s="1256"/>
    </row>
    <row r="76" spans="1:6" s="102" customFormat="1" ht="18" customHeight="1" x14ac:dyDescent="0.2">
      <c r="A76" s="2162"/>
      <c r="B76" s="2173" t="s">
        <v>773</v>
      </c>
      <c r="C76" s="2174"/>
      <c r="D76" s="2174"/>
      <c r="E76" s="2174"/>
      <c r="F76" s="1256"/>
    </row>
    <row r="77" spans="1:6" s="102" customFormat="1" ht="18" customHeight="1" x14ac:dyDescent="0.2">
      <c r="A77" s="2162"/>
      <c r="B77" s="2173" t="s">
        <v>774</v>
      </c>
      <c r="C77" s="2174"/>
      <c r="D77" s="2174"/>
      <c r="E77" s="2174"/>
      <c r="F77" s="1256"/>
    </row>
    <row r="78" spans="1:6" s="102" customFormat="1" ht="18" customHeight="1" x14ac:dyDescent="0.2">
      <c r="A78" s="2162"/>
      <c r="B78" s="2173" t="s">
        <v>775</v>
      </c>
      <c r="C78" s="2174"/>
      <c r="D78" s="2174"/>
      <c r="E78" s="2174"/>
      <c r="F78" s="1256"/>
    </row>
    <row r="79" spans="1:6" s="102" customFormat="1" ht="18" customHeight="1" x14ac:dyDescent="0.2">
      <c r="A79" s="2162"/>
      <c r="B79" s="2173" t="s">
        <v>776</v>
      </c>
      <c r="C79" s="2174"/>
      <c r="D79" s="2174"/>
      <c r="E79" s="2174"/>
      <c r="F79" s="1256"/>
    </row>
    <row r="80" spans="1:6" s="102" customFormat="1" ht="18" customHeight="1" thickBot="1" x14ac:dyDescent="0.25">
      <c r="A80" s="2162"/>
      <c r="B80" s="2178" t="s">
        <v>777</v>
      </c>
      <c r="C80" s="2179"/>
      <c r="D80" s="2179"/>
      <c r="E80" s="2179"/>
      <c r="F80" s="1256"/>
    </row>
    <row r="81" spans="1:6" s="102" customFormat="1" ht="30" customHeight="1" thickBot="1" x14ac:dyDescent="0.25">
      <c r="A81" s="2162"/>
      <c r="B81" s="2168" t="s">
        <v>778</v>
      </c>
      <c r="C81" s="2169"/>
      <c r="D81" s="2169"/>
      <c r="E81" s="2169"/>
      <c r="F81" s="1258"/>
    </row>
    <row r="82" spans="1:6" s="102" customFormat="1" ht="18" customHeight="1" thickBot="1" x14ac:dyDescent="0.25">
      <c r="A82" s="2162"/>
      <c r="B82" s="1259"/>
      <c r="C82" s="1278" t="s">
        <v>694</v>
      </c>
      <c r="D82" s="1279" t="s">
        <v>695</v>
      </c>
      <c r="E82" s="1280" t="s">
        <v>696</v>
      </c>
      <c r="F82" s="1258"/>
    </row>
    <row r="83" spans="1:6" s="102" customFormat="1" ht="26.25" customHeight="1" x14ac:dyDescent="0.2">
      <c r="A83" s="2162"/>
      <c r="B83" s="1263" t="s">
        <v>779</v>
      </c>
      <c r="C83" s="1281" t="s">
        <v>780</v>
      </c>
      <c r="D83" s="1264" t="s">
        <v>781</v>
      </c>
      <c r="E83" s="1265" t="s">
        <v>782</v>
      </c>
      <c r="F83" s="1266">
        <v>0</v>
      </c>
    </row>
    <row r="84" spans="1:6" s="102" customFormat="1" ht="27.75" customHeight="1" x14ac:dyDescent="0.2">
      <c r="A84" s="2162"/>
      <c r="B84" s="1263" t="s">
        <v>783</v>
      </c>
      <c r="C84" s="1281" t="s">
        <v>762</v>
      </c>
      <c r="D84" s="1264" t="s">
        <v>763</v>
      </c>
      <c r="E84" s="1269" t="s">
        <v>764</v>
      </c>
      <c r="F84" s="1266">
        <v>0</v>
      </c>
    </row>
    <row r="85" spans="1:6" s="102" customFormat="1" ht="18" customHeight="1" x14ac:dyDescent="0.2">
      <c r="A85" s="2162"/>
      <c r="B85" s="1263" t="s">
        <v>784</v>
      </c>
      <c r="C85" s="1281" t="s">
        <v>785</v>
      </c>
      <c r="D85" s="1264" t="s">
        <v>786</v>
      </c>
      <c r="E85" s="1269" t="s">
        <v>787</v>
      </c>
      <c r="F85" s="1266">
        <v>0</v>
      </c>
    </row>
    <row r="86" spans="1:6" s="102" customFormat="1" ht="18" customHeight="1" x14ac:dyDescent="0.2">
      <c r="A86" s="2162"/>
      <c r="B86" s="1263" t="s">
        <v>788</v>
      </c>
      <c r="C86" s="1281" t="s">
        <v>729</v>
      </c>
      <c r="D86" s="1264" t="s">
        <v>730</v>
      </c>
      <c r="E86" s="1269" t="s">
        <v>789</v>
      </c>
      <c r="F86" s="1266">
        <v>0</v>
      </c>
    </row>
    <row r="87" spans="1:6" s="102" customFormat="1" ht="18" customHeight="1" thickBot="1" x14ac:dyDescent="0.25">
      <c r="A87" s="2162"/>
      <c r="B87" s="2166" t="s">
        <v>714</v>
      </c>
      <c r="C87" s="2166"/>
      <c r="D87" s="2166"/>
      <c r="E87" s="2167"/>
      <c r="F87" s="1270">
        <v>0</v>
      </c>
    </row>
    <row r="88" spans="1:6" s="893" customFormat="1" ht="21" customHeight="1" thickBot="1" x14ac:dyDescent="0.25">
      <c r="A88" s="2125"/>
      <c r="B88" s="2159"/>
      <c r="C88" s="2160"/>
      <c r="D88" s="2160"/>
      <c r="E88" s="1271" t="s">
        <v>715</v>
      </c>
      <c r="F88" s="1272">
        <v>0</v>
      </c>
    </row>
    <row r="89" spans="1:6" ht="12.75" hidden="1" customHeight="1" x14ac:dyDescent="0.2">
      <c r="A89" s="1282"/>
      <c r="B89" s="1282"/>
      <c r="C89" s="1282"/>
      <c r="D89" s="1282"/>
      <c r="E89" s="1282"/>
      <c r="F89" s="1283"/>
    </row>
    <row r="90" spans="1:6" ht="16.5" thickBot="1" x14ac:dyDescent="0.25">
      <c r="A90" s="2192" t="s">
        <v>790</v>
      </c>
      <c r="B90" s="2196" t="s">
        <v>791</v>
      </c>
      <c r="C90" s="2196"/>
      <c r="D90" s="2196"/>
      <c r="E90" s="2196"/>
      <c r="F90" s="1284"/>
    </row>
    <row r="91" spans="1:6" ht="13.5" thickBot="1" x14ac:dyDescent="0.25">
      <c r="A91" s="2193"/>
      <c r="B91" s="2168" t="s">
        <v>9136</v>
      </c>
      <c r="C91" s="2169"/>
      <c r="D91" s="2169"/>
      <c r="E91" s="2169"/>
      <c r="F91" s="1284"/>
    </row>
    <row r="92" spans="1:6" ht="28.5" customHeight="1" x14ac:dyDescent="0.2">
      <c r="A92" s="2193"/>
      <c r="B92" s="2197" t="s">
        <v>792</v>
      </c>
      <c r="C92" s="2198"/>
      <c r="D92" s="2198"/>
      <c r="E92" s="2198"/>
      <c r="F92" s="1285"/>
    </row>
    <row r="93" spans="1:6" x14ac:dyDescent="0.2">
      <c r="A93" s="2193"/>
      <c r="B93" s="2199" t="s">
        <v>793</v>
      </c>
      <c r="C93" s="2200"/>
      <c r="D93" s="2200"/>
      <c r="E93" s="2200"/>
      <c r="F93" s="1285"/>
    </row>
    <row r="94" spans="1:6" x14ac:dyDescent="0.2">
      <c r="A94" s="2193"/>
      <c r="B94" s="2201" t="s">
        <v>794</v>
      </c>
      <c r="C94" s="2202"/>
      <c r="D94" s="2202"/>
      <c r="E94" s="2203"/>
      <c r="F94" s="1285"/>
    </row>
    <row r="95" spans="1:6" ht="13.5" thickBot="1" x14ac:dyDescent="0.25">
      <c r="A95" s="2193"/>
      <c r="B95" s="2204" t="s">
        <v>795</v>
      </c>
      <c r="C95" s="2204"/>
      <c r="D95" s="2204"/>
      <c r="E95" s="2204"/>
      <c r="F95" s="1285"/>
    </row>
    <row r="96" spans="1:6" ht="13.5" thickBot="1" x14ac:dyDescent="0.25">
      <c r="A96" s="2193"/>
      <c r="B96" s="2168" t="s">
        <v>796</v>
      </c>
      <c r="C96" s="2169"/>
      <c r="D96" s="2169"/>
      <c r="E96" s="2169"/>
      <c r="F96" s="1284"/>
    </row>
    <row r="97" spans="1:6" ht="16.5" thickBot="1" x14ac:dyDescent="0.25">
      <c r="A97" s="2193"/>
      <c r="B97" s="1286"/>
      <c r="C97" s="1278" t="s">
        <v>694</v>
      </c>
      <c r="D97" s="1279" t="s">
        <v>695</v>
      </c>
      <c r="E97" s="1280" t="s">
        <v>696</v>
      </c>
      <c r="F97" s="1287"/>
    </row>
    <row r="98" spans="1:6" ht="25.5" x14ac:dyDescent="0.2">
      <c r="A98" s="2194"/>
      <c r="B98" s="1288" t="s">
        <v>797</v>
      </c>
      <c r="C98" s="1289" t="s">
        <v>798</v>
      </c>
      <c r="D98" s="1290" t="s">
        <v>392</v>
      </c>
      <c r="E98" s="1291" t="s">
        <v>799</v>
      </c>
      <c r="F98" s="1292">
        <v>0</v>
      </c>
    </row>
    <row r="99" spans="1:6" ht="16.5" thickBot="1" x14ac:dyDescent="0.25">
      <c r="A99" s="2194"/>
      <c r="B99" s="1293" t="s">
        <v>784</v>
      </c>
      <c r="C99" s="1294" t="s">
        <v>800</v>
      </c>
      <c r="D99" s="1295" t="s">
        <v>392</v>
      </c>
      <c r="E99" s="1296" t="s">
        <v>801</v>
      </c>
      <c r="F99" s="1297">
        <v>0</v>
      </c>
    </row>
    <row r="100" spans="1:6" x14ac:dyDescent="0.2">
      <c r="A100" s="2194"/>
      <c r="B100" s="1298"/>
      <c r="C100" s="1299"/>
      <c r="D100" s="1299"/>
      <c r="E100" s="1300" t="s">
        <v>802</v>
      </c>
      <c r="F100" s="1301">
        <v>0</v>
      </c>
    </row>
    <row r="101" spans="1:6" ht="13.5" thickBot="1" x14ac:dyDescent="0.25">
      <c r="A101" s="2195"/>
      <c r="B101" s="2205"/>
      <c r="C101" s="2160"/>
      <c r="D101" s="2160"/>
      <c r="E101" s="1302" t="s">
        <v>803</v>
      </c>
      <c r="F101" s="1303">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 ref="B31:E31"/>
    <mergeCell ref="B56:E56"/>
    <mergeCell ref="B51:E51"/>
    <mergeCell ref="B57:E57"/>
    <mergeCell ref="B55:E55"/>
    <mergeCell ref="B54:E54"/>
    <mergeCell ref="B39:D3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B7:E7"/>
    <mergeCell ref="B13:E13"/>
    <mergeCell ref="B9:E9"/>
    <mergeCell ref="B27:E27"/>
    <mergeCell ref="B8:E8"/>
    <mergeCell ref="B22:E22"/>
    <mergeCell ref="B26:D26"/>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21" t="s">
        <v>805</v>
      </c>
      <c r="D1" s="2221"/>
      <c r="E1" s="2221"/>
      <c r="F1" s="2221"/>
      <c r="G1" s="2221"/>
      <c r="H1" s="2222"/>
      <c r="I1" s="38"/>
      <c r="J1" s="38"/>
      <c r="K1" s="38"/>
      <c r="L1" s="38"/>
      <c r="M1" s="38"/>
      <c r="N1" s="38"/>
      <c r="O1" s="38"/>
      <c r="P1" s="38"/>
    </row>
    <row r="2" spans="2:48" ht="20.25" customHeight="1" x14ac:dyDescent="0.2">
      <c r="B2" s="1082" t="s">
        <v>39</v>
      </c>
      <c r="C2" s="2223" t="s">
        <v>805</v>
      </c>
      <c r="D2" s="2223"/>
      <c r="E2" s="2223"/>
      <c r="F2" s="2223"/>
      <c r="G2" s="2223"/>
      <c r="H2" s="2224"/>
      <c r="I2" s="38"/>
      <c r="J2" s="38"/>
      <c r="K2" s="38"/>
      <c r="L2" s="38"/>
      <c r="M2" s="38"/>
      <c r="N2" s="38"/>
      <c r="O2" s="38"/>
      <c r="P2" s="38"/>
    </row>
    <row r="3" spans="2:48" ht="19.5" customHeight="1" thickBot="1" x14ac:dyDescent="0.25">
      <c r="B3" s="1083" t="s">
        <v>40</v>
      </c>
      <c r="C3" s="2225"/>
      <c r="D3" s="2225"/>
      <c r="E3" s="2225"/>
      <c r="F3" s="2225"/>
      <c r="G3" s="2225"/>
      <c r="H3" s="2226"/>
      <c r="I3" s="38"/>
      <c r="J3" s="38"/>
      <c r="K3" s="38"/>
      <c r="L3" s="38"/>
      <c r="M3" s="38"/>
    </row>
    <row r="4" spans="2:48" ht="33" customHeight="1" thickBot="1" x14ac:dyDescent="0.25">
      <c r="B4" s="2235" t="s">
        <v>806</v>
      </c>
      <c r="C4" s="2236"/>
      <c r="D4" s="2236"/>
      <c r="E4" s="2236"/>
      <c r="F4" s="2236"/>
      <c r="G4" s="2236"/>
      <c r="H4" s="2237"/>
      <c r="I4" s="37"/>
      <c r="J4" s="37"/>
      <c r="K4" s="37"/>
      <c r="L4" s="37"/>
      <c r="M4" s="37"/>
    </row>
    <row r="5" spans="2:48" ht="12" customHeight="1" thickBot="1" x14ac:dyDescent="0.25">
      <c r="B5" s="34"/>
      <c r="C5" s="34"/>
      <c r="D5" s="34"/>
      <c r="E5" s="34"/>
      <c r="F5" s="34"/>
      <c r="G5" s="34"/>
      <c r="H5" s="34"/>
      <c r="I5" s="2234"/>
      <c r="J5" s="2234"/>
      <c r="K5" s="2234"/>
      <c r="L5" s="2234"/>
      <c r="M5" s="2234"/>
      <c r="N5" s="2234"/>
      <c r="O5" s="2234"/>
    </row>
    <row r="6" spans="2:48" ht="19.5" customHeight="1" thickBot="1" x14ac:dyDescent="0.25">
      <c r="B6" s="2227" t="s">
        <v>8356</v>
      </c>
      <c r="C6" s="2228"/>
      <c r="D6" s="2228"/>
      <c r="E6" s="2228"/>
      <c r="F6" s="2228"/>
      <c r="G6" s="2229"/>
      <c r="H6" s="2230"/>
      <c r="I6" s="2231" t="s">
        <v>807</v>
      </c>
      <c r="J6" s="2232"/>
      <c r="K6" s="2232"/>
      <c r="L6" s="2232"/>
      <c r="M6" s="2232"/>
      <c r="N6" s="2232"/>
      <c r="O6" s="2232"/>
      <c r="P6" s="2232"/>
      <c r="Q6" s="2232"/>
      <c r="R6" s="2233"/>
      <c r="S6" s="2231" t="s">
        <v>808</v>
      </c>
      <c r="T6" s="2232"/>
      <c r="U6" s="2232"/>
      <c r="V6" s="2232"/>
      <c r="W6" s="2232"/>
      <c r="X6" s="2232"/>
      <c r="Y6" s="2232"/>
      <c r="Z6" s="2232"/>
      <c r="AA6" s="2232"/>
      <c r="AB6" s="2233"/>
      <c r="AC6" s="2231" t="s">
        <v>809</v>
      </c>
      <c r="AD6" s="2232"/>
      <c r="AE6" s="2232"/>
      <c r="AF6" s="2232"/>
      <c r="AG6" s="2232"/>
      <c r="AH6" s="2232"/>
      <c r="AI6" s="2232"/>
      <c r="AJ6" s="2232"/>
      <c r="AK6" s="2232"/>
      <c r="AL6" s="2245"/>
      <c r="AM6" s="2238" t="s">
        <v>810</v>
      </c>
      <c r="AN6" s="2239"/>
      <c r="AO6" s="2239"/>
      <c r="AP6" s="2239"/>
      <c r="AQ6" s="2239"/>
      <c r="AR6" s="2239"/>
      <c r="AS6" s="2239"/>
      <c r="AT6" s="2239"/>
      <c r="AU6" s="2239"/>
      <c r="AV6" s="2240"/>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t="str">
        <f t="shared" ref="C8:C26" si="0">IF((G8=""),"",10*(IF((NS=1),(G8-I8)/K8,IF((NB=1),(G8-S8)/U8,IF((NL=1),(G8-AC8)/AE8,(G8-AM8)/AO8)))))</f>
        <v/>
      </c>
      <c r="D8" s="1068" t="str">
        <f t="shared" ref="D8:D26" si="1">IF((C8=""),"",IF((NS=1),IF((C8&lt;=L8),"Lower",IF((C8&gt;=M8),"Higher", IF(NB=1,IF((C8&lt;=V8),"Lower",IF((C8&gt;=W8),"Higher")), IF(NL=1,IF((C8&lt;=AF8),"Lower",IF((C8&gt;=AG8),"Higher")),"Moderate")))), IF((C8&lt;=AP8),"Lower",IF((C8&gt;=AQ8), "Higher", "Moderate"))))</f>
        <v/>
      </c>
      <c r="E8" s="1610" t="str">
        <f>IF((H8=""),"",10*(IF((NS=1),(H8-N8)/P8,IF((NB=1),(H8-X8)/Z8,IF((NL=1),(H8-AH8)/AJ8,(H8-AR8)/AT8)))))</f>
        <v/>
      </c>
      <c r="F8" s="1610" t="str">
        <f t="shared" ref="F8:F13" si="2">IF((E8=""),"",IF((NS=1),IF((E8&lt;=Q8),"Lower",IF((E8&gt;=R8),"Higher",IF(NB=1,IF((E8&lt;=AA8),"Lower",IF((E8&gt;=AB8),"Higher")),IF(NL=1,IF((E8&lt;=AK8),"Lower",IF((E8&gt;=AL8),"Higher")),"Moderate")))),IF((E8&lt;=AU8),"Lower",IF((E8&gt;=AV8),"Higher","Moderate"))))</f>
        <v/>
      </c>
      <c r="G8" s="1649" t="str">
        <f>IF((SUM(OF!D19:'OF'!D24)=0),"",WS!G104)</f>
        <v/>
      </c>
      <c r="H8" s="1640" t="str">
        <f>IF((G8&lt;1),0,IF((G8=""),"",WS!G105))</f>
        <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t="str">
        <f t="shared" si="0"/>
        <v/>
      </c>
      <c r="D9" s="1615" t="str">
        <f t="shared" si="1"/>
        <v/>
      </c>
      <c r="E9" s="1616" t="str">
        <f t="shared" ref="E9:E13" si="3">IF((H9=""),"",10*(IF((NS=1),(H9-N9)/P9,IF((NB=1),(H9-X9)/Z9,IF((NL=1),(H9-AH9)/AJ9,(H9-AR9)/AT9)))))</f>
        <v/>
      </c>
      <c r="F9" s="1616" t="str">
        <f t="shared" si="2"/>
        <v/>
      </c>
      <c r="G9" s="1644" t="str">
        <f>IF((SUM(OF!D19:'OF'!D24)=0),"",SFTS!G117)</f>
        <v/>
      </c>
      <c r="H9" s="1636" t="str">
        <f>IF((G9&lt;1),0,IF((G9=""),"",SFTS!G118))</f>
        <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t="str">
        <f t="shared" si="0"/>
        <v/>
      </c>
      <c r="D10" s="1628" t="str">
        <f t="shared" si="1"/>
        <v/>
      </c>
      <c r="E10" s="1610" t="str">
        <f t="shared" si="3"/>
        <v/>
      </c>
      <c r="F10" s="1610" t="str">
        <f t="shared" si="2"/>
        <v/>
      </c>
      <c r="G10" s="1645" t="str">
        <f>IF((SUM(OF!D19:'OF'!D24)=0),"",SR!G164)</f>
        <v/>
      </c>
      <c r="H10" s="1640" t="str">
        <f>IF((G10&lt;1),0,IF((G10=""),"",SR!G165))</f>
        <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t="str">
        <f t="shared" si="0"/>
        <v/>
      </c>
      <c r="D11" s="1068" t="str">
        <f t="shared" si="1"/>
        <v/>
      </c>
      <c r="E11" s="1064" t="str">
        <f t="shared" si="3"/>
        <v/>
      </c>
      <c r="F11" s="1064" t="str">
        <f t="shared" si="2"/>
        <v/>
      </c>
      <c r="G11" s="1642" t="str">
        <f>IF((SUM(OF!D19:'OF'!D24)=0),"",PR!G159)</f>
        <v/>
      </c>
      <c r="H11" s="1631" t="str">
        <f>IF((G11&lt;1),0,IF((G11=""),"",PR!G160))</f>
        <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t="str">
        <f t="shared" si="0"/>
        <v/>
      </c>
      <c r="D12" s="1629" t="str">
        <f t="shared" si="1"/>
        <v/>
      </c>
      <c r="E12" s="1625" t="str">
        <f t="shared" si="3"/>
        <v/>
      </c>
      <c r="F12" s="1625" t="str">
        <f t="shared" si="2"/>
        <v/>
      </c>
      <c r="G12" s="1646" t="str">
        <f>IF((SUM(OF!D$19:'OF'!$D24)=0),"",NR!G227)</f>
        <v/>
      </c>
      <c r="H12" s="1641" t="str">
        <f>IF((G12&lt;1),0,IF((G12=""),"",NR!G228))</f>
        <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t="str">
        <f t="shared" si="0"/>
        <v/>
      </c>
      <c r="D13" s="1628" t="str">
        <f t="shared" si="1"/>
        <v/>
      </c>
      <c r="E13" s="1610" t="str">
        <f t="shared" si="3"/>
        <v/>
      </c>
      <c r="F13" s="1610" t="str">
        <f t="shared" si="2"/>
        <v/>
      </c>
      <c r="G13" s="1645" t="str">
        <f>IF((SUM(OF!$D19:'OF'!$D24)=0),"",WFR!G70)</f>
        <v/>
      </c>
      <c r="H13" s="1640" t="str">
        <f>IF((G13&lt;1),0,IF((G13=""),"",WFR!G71))</f>
        <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t="str">
        <f t="shared" si="0"/>
        <v/>
      </c>
      <c r="D14" s="1068" t="str">
        <f t="shared" si="1"/>
        <v/>
      </c>
      <c r="E14" s="1602"/>
      <c r="F14" s="1602"/>
      <c r="G14" s="1642" t="str">
        <f>IF((SUM(OF!D19:'OF'!D24)=0),"",CSP!G83)</f>
        <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str">
        <f t="shared" si="0"/>
        <v/>
      </c>
      <c r="D15" s="1068" t="str">
        <f t="shared" si="1"/>
        <v/>
      </c>
      <c r="E15" s="1647"/>
      <c r="F15" s="1647"/>
      <c r="G15" s="1642" t="str">
        <f>IF((SUM(OF!D19:'OF'!D24)=0),"",CC!G129)</f>
        <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str">
        <f t="shared" si="0"/>
        <v/>
      </c>
      <c r="D16" s="1629" t="str">
        <f t="shared" si="1"/>
        <v/>
      </c>
      <c r="E16" s="1648"/>
      <c r="F16" s="1648"/>
      <c r="G16" s="1646" t="str">
        <f>IF((SUM(OF!D19:'OF'!D24)=0),"",OE!G42)</f>
        <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str">
        <f t="shared" si="0"/>
        <v/>
      </c>
      <c r="D17" s="1628" t="str">
        <f t="shared" si="1"/>
        <v/>
      </c>
      <c r="E17" s="1610" t="str">
        <f t="shared" ref="E17:E23" si="4">IF((H17=""),"",10*(IF((NS=1),(H17-N17)/P17,IF((NB=1),(H17-X17)/Z17,IF((NL=1),(H17-AH17)/AJ17,(H17-AR17)/AT17)))))</f>
        <v/>
      </c>
      <c r="F17" s="1610" t="str">
        <f t="shared" ref="F17:F28" si="5">IF((E17=""),"",IF((NS=1),IF((E17&lt;=Q18),"Lower",IF((E17&gt;=R18),"Higher",IF(NB=1,IF((E17&lt;=AA17),"Lower",IF((E17&gt;=AB17),"Higher")),IF(NL=1,IF((E17&lt;=AK17),"Lower",IF((E17&gt;=AL17),"Higher")),"Moderate")))),IF((E17&lt;=AU17),"Lower",IF((E17&gt;=AV17),"Higher","Moderate"))))</f>
        <v/>
      </c>
      <c r="G17" s="1645" t="str">
        <f>IF((SUM(OF!D19:'OF'!D24)=0),"",APP!G156)</f>
        <v/>
      </c>
      <c r="H17" s="1640" t="str">
        <f>IF((G17&lt;1),0,IF((G17=""),"",APP!G157))</f>
        <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t="str">
        <f t="shared" si="0"/>
        <v/>
      </c>
      <c r="D18" s="1068" t="str">
        <f t="shared" si="1"/>
        <v/>
      </c>
      <c r="E18" s="1064" t="str">
        <f t="shared" si="4"/>
        <v/>
      </c>
      <c r="F18" s="1064" t="str">
        <f t="shared" si="5"/>
        <v/>
      </c>
      <c r="G18" s="1642" t="str">
        <f>IF((SUM(OF!D19:'OF'!D24)=0),"",FA!G132)</f>
        <v/>
      </c>
      <c r="H18" s="1631" t="str">
        <f>IF((G18&lt;1),0,IF((G18=""),"",FA!G133))</f>
        <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str">
        <f t="shared" si="0"/>
        <v/>
      </c>
      <c r="D19" s="1629" t="str">
        <f t="shared" si="1"/>
        <v/>
      </c>
      <c r="E19" s="1625" t="str">
        <f t="shared" si="4"/>
        <v/>
      </c>
      <c r="F19" s="1625" t="str">
        <f t="shared" si="5"/>
        <v/>
      </c>
      <c r="G19" s="1646" t="str">
        <f>IF((SUM(OF!D19:'OF'!D24)=0),"",FR!G107)</f>
        <v/>
      </c>
      <c r="H19" s="1641" t="str">
        <f>IF((G19&lt;1),0,IF((G19=""),"",FR!G108))</f>
        <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str">
        <f>IF((NL=1),"",IF((G20=""),"",10*(IF((NS=1),(G20-I20)/K20,IF((NB=1),(G20-S20)/U20,IF((NL=1),(G20-AC20)/AE20,(G20-AM20)/AO20))))))</f>
        <v/>
      </c>
      <c r="D20" s="1628" t="str">
        <f>IF((NL=1),"",IF((C20=""),"",IF((NS=1),IF((C20&lt;=L20),"Lower",IF((C20&gt;=M20),"Higher",IF(NB=1,IF((C20&lt;=V20),"Lower",IF((C20&gt;=W20),"Higher")),IF(NL=1,IF((C20&lt;=AF20),"Lower",IF((C20&gt;=AG20),"Higher")),"Moderate")))),IF((C20&lt;=AP20),"Lower",IF((C20&gt;=AQ20),"Higher","Moderate")))))</f>
        <v/>
      </c>
      <c r="E20" s="1610" t="str">
        <f t="shared" si="4"/>
        <v/>
      </c>
      <c r="F20" s="1610" t="str">
        <f t="shared" si="5"/>
        <v/>
      </c>
      <c r="G20" s="1645" t="str">
        <f>IF((SUM(OF!D19:'OF'!D24)=0),"",IF((NL=1),"",AM!G213))</f>
        <v/>
      </c>
      <c r="H20" s="1640" t="str">
        <f>IF((G20&lt;1),0,IF((G20=""),"",IF((NL=1),"",AM!G214)))</f>
        <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t="str">
        <f t="shared" si="0"/>
        <v/>
      </c>
      <c r="D21" s="1068" t="str">
        <f t="shared" si="1"/>
        <v/>
      </c>
      <c r="E21" s="1064" t="str">
        <f t="shared" si="4"/>
        <v/>
      </c>
      <c r="F21" s="1064" t="str">
        <f t="shared" si="5"/>
        <v/>
      </c>
      <c r="G21" s="1642" t="str">
        <f>IF((SUM(OF!D19:'OF'!D24)=0),"",WBF!G176)</f>
        <v/>
      </c>
      <c r="H21" s="1631" t="str">
        <f>IF((G21&lt;1),0,IF((G21=""),"",WBF!G177))</f>
        <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str">
        <f t="shared" si="0"/>
        <v/>
      </c>
      <c r="D22" s="1629" t="str">
        <f t="shared" si="1"/>
        <v/>
      </c>
      <c r="E22" s="1625" t="str">
        <f t="shared" si="4"/>
        <v/>
      </c>
      <c r="F22" s="1625" t="str">
        <f t="shared" si="5"/>
        <v/>
      </c>
      <c r="G22" s="1646" t="str">
        <f>IF((SUM(OF!D19:'OF'!D24)=0),"",WBN!G204)</f>
        <v/>
      </c>
      <c r="H22" s="1641" t="str">
        <f>IF((G22&lt;1),0,IF((G22=""),"",WBN!G205))</f>
        <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str">
        <f t="shared" si="0"/>
        <v/>
      </c>
      <c r="D23" s="1628" t="str">
        <f t="shared" si="1"/>
        <v/>
      </c>
      <c r="E23" s="1610" t="str">
        <f t="shared" si="4"/>
        <v/>
      </c>
      <c r="F23" s="1610" t="str">
        <f t="shared" si="5"/>
        <v/>
      </c>
      <c r="G23" s="1645" t="str">
        <f>IF((SUM(OF!D19:'OF'!D24)=0),"",RSB!G217)</f>
        <v/>
      </c>
      <c r="H23" s="1640" t="str">
        <f>IF((G23&lt;1),0,IF((G23=""),"",RSB!G218))</f>
        <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str">
        <f t="shared" si="0"/>
        <v/>
      </c>
      <c r="D24" s="1068" t="str">
        <f t="shared" si="1"/>
        <v/>
      </c>
      <c r="E24" s="1610" t="str">
        <f t="shared" ref="E24:E29" si="6">IF((D24=""),"",IF((NS=1),IF((D24&lt;=P24),"Lower",IF((D24&gt;=Q24),"Higher",IF(NB=1,IF((D24&lt;=Z24),"Lower",IF((D24&gt;=AA24),"Higher")),IF(NL=1,IF((D24&lt;=AJ24),"Lower",IF((D24&gt;=AK24),"Higher")),"Moderate")))),IF((D24&lt;=AT24),"Lower",IF((D24&gt;=AU24),"Higher","Moderate"))))</f>
        <v/>
      </c>
      <c r="F24" s="1064" t="str">
        <f t="shared" si="5"/>
        <v/>
      </c>
      <c r="G24" s="1642" t="str">
        <f>IF((SUM(OF!D19:'OF'!D24)=0),"",KMH!G143)</f>
        <v/>
      </c>
      <c r="H24" s="1631" t="str">
        <f>IF((G24&lt;1),0,IF((G24=""),"",KMH!G144))</f>
        <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str">
        <f t="shared" si="0"/>
        <v/>
      </c>
      <c r="D25" s="1068" t="str">
        <f t="shared" si="1"/>
        <v/>
      </c>
      <c r="E25" s="1616" t="str">
        <f t="shared" si="6"/>
        <v/>
      </c>
      <c r="F25" s="1064" t="str">
        <f t="shared" si="5"/>
        <v/>
      </c>
      <c r="G25" s="1642" t="str">
        <f>IF((SUM(OF!D19:'OF'!D24)=0),"",PH!G206)</f>
        <v/>
      </c>
      <c r="H25" s="1631" t="str">
        <f>IF((G25&lt;1),0,IF((G25=""),"",PH!G207))</f>
        <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str">
        <f t="shared" si="0"/>
        <v/>
      </c>
      <c r="D26" s="1629" t="str">
        <f t="shared" si="1"/>
        <v/>
      </c>
      <c r="E26" s="1610" t="str">
        <f t="shared" si="6"/>
        <v/>
      </c>
      <c r="F26" s="1625" t="str">
        <f t="shared" si="5"/>
        <v/>
      </c>
      <c r="G26" s="1646" t="str">
        <f>IF((SUM(OF!D19:'OF'!D24)=0),"",POL!G102)</f>
        <v/>
      </c>
      <c r="H26" s="1641" t="str">
        <f>IF((G26&lt;1),0,IF((G26=""),"",POL!G103))</f>
        <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str">
        <f>IF((SUM(OF!D19:'OF'!D24)=0),"",CRI!G77)</f>
        <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t="str">
        <f>IF((SUM(OF!D19:'OF'!D24)=0),"",Sens!G188)</f>
        <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t="str">
        <f>IF((SUM(OF!D19:'OF'!D24)=0),"",STR!G85)</f>
        <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41" t="s">
        <v>8368</v>
      </c>
      <c r="H30" s="2242"/>
      <c r="I30" s="2242"/>
      <c r="J30" s="2242"/>
      <c r="K30" s="2242"/>
      <c r="L30" s="2242"/>
      <c r="M30" s="2242"/>
      <c r="N30" s="2242"/>
      <c r="O30" s="2242"/>
      <c r="P30" s="2242"/>
      <c r="Q30" s="2242"/>
      <c r="R30" s="2242"/>
      <c r="S30" s="2242"/>
      <c r="T30" s="2242"/>
      <c r="U30" s="2242"/>
      <c r="V30" s="2242"/>
      <c r="W30" s="2242"/>
      <c r="X30" s="2242"/>
      <c r="Y30" s="2242"/>
      <c r="Z30" s="2242"/>
    </row>
    <row r="31" spans="2:48" ht="42" customHeight="1" x14ac:dyDescent="0.2">
      <c r="B31" s="1786" t="s">
        <v>844</v>
      </c>
      <c r="C31" s="1606" t="str">
        <f>IF((C8=""),"",C8)</f>
        <v/>
      </c>
      <c r="D31" s="1633" t="str">
        <f>IF((D8=""),"",D8)</f>
        <v/>
      </c>
      <c r="E31" s="1647"/>
      <c r="F31" s="1633" t="str">
        <f>IF((F8=""),"",F8)</f>
        <v/>
      </c>
      <c r="G31" s="2243" t="s">
        <v>8369</v>
      </c>
      <c r="H31" s="2244"/>
      <c r="I31" s="2244"/>
      <c r="J31" s="2244"/>
      <c r="K31" s="2244"/>
      <c r="L31" s="2244"/>
      <c r="M31" s="2244"/>
      <c r="N31" s="2244"/>
      <c r="O31" s="2244"/>
      <c r="P31" s="2244"/>
      <c r="Q31" s="2244"/>
      <c r="R31" s="2244"/>
      <c r="S31" s="2244"/>
      <c r="T31" s="2244"/>
      <c r="U31" s="2244"/>
      <c r="V31" s="2244"/>
      <c r="W31" s="2244"/>
      <c r="X31" s="2244"/>
      <c r="Y31" s="2244"/>
      <c r="Z31" s="2244"/>
    </row>
    <row r="32" spans="2:48" ht="61.5" customHeight="1" thickBot="1" x14ac:dyDescent="0.25">
      <c r="B32" s="1787" t="s">
        <v>8375</v>
      </c>
      <c r="C32" s="445" t="str">
        <f>IF((C10=""),"",(MAX(C10:C12, C14)+AVERAGE(C10:C12,C14))/2)</f>
        <v/>
      </c>
      <c r="D32" s="1607" t="str">
        <f>IF((D10=""),"",IF(OR(D10="Higher",D11="Higher",D12="Higher",D13="Higher"),"Higher",IF(OR(D10="Moderate",D11="Moderate",D12="Moderate",D13="Moderate"),"Moderate","Lower")))</f>
        <v/>
      </c>
      <c r="E32" s="1648"/>
      <c r="F32" s="1611" t="str">
        <f>IF((F10=""),"",IF(OR(F10="Higher",F11="Higher",F12="Higher",F13="Higher"),"Higher",IF(OR(F10="Moderate",F11="Moderate",F12="Moderate",F13="Moderate"),"Moderate","Lower")))</f>
        <v/>
      </c>
      <c r="G32" s="2243" t="s">
        <v>845</v>
      </c>
      <c r="H32" s="2244"/>
      <c r="I32" s="2244"/>
      <c r="J32" s="2244"/>
      <c r="K32" s="2244"/>
      <c r="L32" s="2244"/>
      <c r="M32" s="2244"/>
      <c r="N32" s="2244"/>
      <c r="O32" s="2244"/>
      <c r="P32" s="2244"/>
      <c r="Q32" s="2244"/>
      <c r="R32" s="2244"/>
      <c r="S32" s="2244"/>
      <c r="T32" s="2244"/>
      <c r="U32" s="2244"/>
      <c r="V32" s="2244"/>
      <c r="W32" s="2244"/>
      <c r="X32" s="2244"/>
      <c r="Y32" s="2244"/>
      <c r="Z32" s="2244"/>
    </row>
    <row r="33" spans="2:26" ht="43.5" customHeight="1" x14ac:dyDescent="0.2">
      <c r="B33" s="1788" t="s">
        <v>846</v>
      </c>
      <c r="C33" s="445" t="str">
        <f>IF((C9=""),"",(MAX(C9,C16,C17)+AVERAGE(C9,C16,C17))/2)</f>
        <v/>
      </c>
      <c r="D33" s="1607" t="str">
        <f>IF((D9=""),"",IF(OR(D9="Higher",D16="Higher",D17="Higher"),"Higher",IF(OR(D9="Moderate",D16="Moderate",D17="Moderate"),"Moderate","Lower")))</f>
        <v/>
      </c>
      <c r="E33" s="1610" t="str">
        <f t="shared" ref="E33:E44" si="7">IF((D33=""),"",IF((NS=1),IF((D33&lt;=P34),"Lower",IF((D33&gt;=Q34),"Higher",IF(NB=1,IF((D33&lt;=Z33),"Lower",IF((D33&gt;=AA33),"Higher")),IF(NL=1,IF((D33&lt;=AJ33),"Lower",IF((D33&gt;=AK33),"Higher")),"Moderate")))),IF((D33&lt;=AT33),"Lower",IF((D33&gt;=AU33),"Higher","Moderate"))))</f>
        <v/>
      </c>
      <c r="F33" s="1611" t="str">
        <f>IF((F9=""),"",IF(OR(F9="Higher",F16="Higher",F17="Higher"),"Higher",IF(OR(F9="Moderate",F16="Moderate",F17="Moderate"),"Moderate","Lower")))</f>
        <v/>
      </c>
      <c r="G33" s="2206" t="s">
        <v>9164</v>
      </c>
      <c r="H33" s="2207"/>
      <c r="I33" s="2207"/>
      <c r="J33" s="2207"/>
      <c r="K33" s="2207"/>
      <c r="L33" s="2207"/>
      <c r="M33" s="2207"/>
      <c r="N33" s="2207"/>
      <c r="O33" s="2207"/>
      <c r="P33" s="2207"/>
      <c r="Q33" s="2207"/>
      <c r="R33" s="2207"/>
      <c r="S33" s="2207"/>
      <c r="T33" s="2207"/>
      <c r="U33" s="2207"/>
      <c r="V33" s="2207"/>
      <c r="W33" s="2207"/>
      <c r="X33" s="2207"/>
      <c r="Y33" s="2207"/>
      <c r="Z33" s="2207"/>
    </row>
    <row r="34" spans="2:26" ht="44.25" customHeight="1" x14ac:dyDescent="0.2">
      <c r="B34" s="1788" t="s">
        <v>847</v>
      </c>
      <c r="C34" s="445" t="str">
        <f>IF((C18=""),"",(MAX(C18,C19,C20,C21,C22)+AVERAGE(C18,C19,C20,C21,C22))/2)</f>
        <v/>
      </c>
      <c r="D34" s="1607" t="str">
        <f>IF((D18=""),"",IF(OR(D18="Higher",D19="Higher",D20="Higher",D21="Higher",D22="Higher"),"Higher",IF(OR(D18="Moderate",D19="Moderate",D20="Moderate",D21="Moderate",D22="Moderate"),"Moderate","Lower")))</f>
        <v/>
      </c>
      <c r="E34" s="1064" t="str">
        <f t="shared" si="7"/>
        <v/>
      </c>
      <c r="F34" s="1611" t="str">
        <f>IF((F18=""),"",IF(OR(F18="Higher",F19="Higher",F20="Higher",F21="Higher",F22="Higher"),"Higher",IF(OR(F18="Moderate",F19="Moderate",F20="Moderate",F21="Moderate",F22="Moderate"),"Moderate","Lower")))</f>
        <v/>
      </c>
      <c r="G34" s="2208"/>
      <c r="H34" s="2209"/>
      <c r="I34" s="2209"/>
      <c r="J34" s="2209"/>
      <c r="K34" s="2209"/>
      <c r="L34" s="2209"/>
      <c r="M34" s="2209"/>
      <c r="N34" s="2209"/>
      <c r="O34" s="2209"/>
      <c r="P34" s="2209"/>
      <c r="Q34" s="2209"/>
      <c r="R34" s="2209"/>
      <c r="S34" s="2209"/>
      <c r="T34" s="2209"/>
      <c r="U34" s="2209"/>
      <c r="V34" s="2209"/>
      <c r="W34" s="2209"/>
      <c r="X34" s="2209"/>
      <c r="Y34" s="2209"/>
      <c r="Z34" s="2209"/>
    </row>
    <row r="35" spans="2:26" ht="40.5" customHeight="1" thickBot="1" x14ac:dyDescent="0.25">
      <c r="B35" s="1789" t="s">
        <v>848</v>
      </c>
      <c r="C35" s="1604" t="str">
        <f>IF((C23=""),"",(MAX(C23,C26,C25)+AVERAGE(C23,C26,C25))/2)</f>
        <v/>
      </c>
      <c r="D35" s="1608" t="str">
        <f>IF((D23=""),"",IF(OR(D23="Higher",D25="Higher",D26="Higher"),"Higher",IF(OR(D23="Moderate",D25="Moderate",D26="Moderate"),"Moderate","Lower")))</f>
        <v/>
      </c>
      <c r="E35" s="1625" t="str">
        <f t="shared" si="7"/>
        <v/>
      </c>
      <c r="F35" s="1612" t="str">
        <f>IF((F23=""),"",IF(OR(F23="Higher",F25="Higher",F26="Higher"),"Higher",IF(OR(F23="Moderate",F25="Moderate",F26="Moderate"),"Moderate","Lower")))</f>
        <v/>
      </c>
      <c r="G35" s="2210" t="s">
        <v>9165</v>
      </c>
      <c r="H35" s="2211"/>
      <c r="I35" s="2211"/>
      <c r="J35" s="2211"/>
      <c r="K35" s="2211"/>
      <c r="L35" s="2211"/>
      <c r="M35" s="2211"/>
      <c r="N35" s="2211"/>
      <c r="O35" s="2211"/>
      <c r="P35" s="2211"/>
      <c r="Q35" s="2211"/>
      <c r="R35" s="2211"/>
      <c r="S35" s="2211"/>
      <c r="T35" s="2211"/>
      <c r="U35" s="2211"/>
      <c r="V35" s="2211"/>
      <c r="W35" s="2211"/>
      <c r="X35" s="2211"/>
      <c r="Y35" s="2211"/>
      <c r="Z35" s="2211"/>
    </row>
    <row r="36" spans="2:26" ht="36" customHeight="1" thickBot="1" x14ac:dyDescent="0.25">
      <c r="B36" s="1603" t="s">
        <v>849</v>
      </c>
      <c r="C36" s="2212" t="str">
        <f>IF((OF!D7=0),"",C65)</f>
        <v/>
      </c>
      <c r="D36" s="2213"/>
      <c r="E36" s="1610" t="str">
        <f t="shared" si="7"/>
        <v/>
      </c>
      <c r="G36" s="2211"/>
      <c r="H36" s="2211"/>
      <c r="I36" s="2211"/>
      <c r="J36" s="2211"/>
      <c r="K36" s="2211"/>
      <c r="L36" s="2211"/>
      <c r="M36" s="2211"/>
      <c r="N36" s="2211"/>
      <c r="O36" s="2211"/>
      <c r="P36" s="2211"/>
      <c r="Q36" s="2211"/>
      <c r="R36" s="2211"/>
      <c r="S36" s="2211"/>
      <c r="T36" s="2211"/>
      <c r="U36" s="2211"/>
      <c r="V36" s="2211"/>
      <c r="W36" s="2211"/>
      <c r="X36" s="2211"/>
      <c r="Y36" s="2211"/>
      <c r="Z36" s="2211"/>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19" t="s">
        <v>851</v>
      </c>
      <c r="C39" s="2219"/>
      <c r="D39" s="2219"/>
      <c r="E39" s="1610" t="str">
        <f t="shared" si="7"/>
        <v/>
      </c>
      <c r="F39" s="455"/>
      <c r="Q39"/>
      <c r="R39"/>
      <c r="S39" s="456"/>
    </row>
    <row r="40" spans="2:26" ht="66" customHeight="1" x14ac:dyDescent="0.2">
      <c r="B40" s="2219" t="s">
        <v>852</v>
      </c>
      <c r="C40" s="2219"/>
      <c r="D40" s="2219"/>
      <c r="E40" s="1064" t="str">
        <f t="shared" si="7"/>
        <v/>
      </c>
      <c r="F40" s="455"/>
      <c r="Q40"/>
      <c r="R40"/>
      <c r="S40" s="456"/>
    </row>
    <row r="41" spans="2:26" ht="53.25" customHeight="1" x14ac:dyDescent="0.2">
      <c r="B41" s="2219" t="s">
        <v>853</v>
      </c>
      <c r="C41" s="2219"/>
      <c r="D41" s="2219"/>
      <c r="E41" s="1064" t="str">
        <f t="shared" si="7"/>
        <v/>
      </c>
      <c r="F41" s="455"/>
      <c r="Q41"/>
      <c r="R41"/>
      <c r="S41" s="456"/>
    </row>
    <row r="42" spans="2:26" ht="19.5" customHeight="1" thickBot="1" x14ac:dyDescent="0.35">
      <c r="B42" s="2220" t="s">
        <v>854</v>
      </c>
      <c r="C42" s="2220"/>
      <c r="D42" s="2220"/>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t="str">
        <f>IF((C31=""), "",C31*E31)</f>
        <v/>
      </c>
      <c r="D55" s="465" t="str">
        <f>IF((C31=""),"",IF($C55&lt;=$H55,"Low",IF($C55&gt;=$I55, "High", "Moderate")))</f>
        <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t="str">
        <f>IF((C32=""), "",C32*E32)</f>
        <v/>
      </c>
      <c r="D56" s="465" t="str">
        <f>IF((C32=""),"",IF($C56&lt;=$H56,"Low",IF($C56&gt;=$I56, "High", "Moderate")))</f>
        <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str">
        <f>IF((C33=""), "",C33*E33)</f>
        <v/>
      </c>
      <c r="D57" s="465" t="str">
        <f>IF((C33=""),"",IF($C57&lt;=$H57,"Low",IF($C57&gt;=$I57, "High", "Moderate")))</f>
        <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str">
        <f>IF((C34=""), "",C34*E34)</f>
        <v/>
      </c>
      <c r="D58" s="465" t="str">
        <f>IF((C34=""),"",IF($C58&lt;=$H58,"Low",IF($C58&gt;=$I58, "High", "Moderate")))</f>
        <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str">
        <f>IF((C35=""), "",C35*E35)</f>
        <v/>
      </c>
      <c r="D59" s="465" t="str">
        <f>IF((C35=""),"",IF($C59&lt;=$H59,"Low",IF($C59&gt;=$I59, "High", "Moderate")))</f>
        <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14" t="str">
        <f>IF((H71=""),"",IF(H71 = "non-WSS",IF(H72="non-WSS","NO","YES"),"YES"))</f>
        <v>NO</v>
      </c>
      <c r="D62" s="2214"/>
      <c r="E62" s="444"/>
      <c r="F62" s="444"/>
      <c r="G62" s="1758"/>
      <c r="H62" s="1758"/>
      <c r="I62" s="2215" t="s">
        <v>888</v>
      </c>
      <c r="J62" s="2215"/>
      <c r="K62" s="2215" t="s">
        <v>889</v>
      </c>
      <c r="L62" s="2215"/>
      <c r="M62" s="1758"/>
      <c r="N62" s="1768"/>
      <c r="O62" s="1757"/>
      <c r="P62" s="1763"/>
      <c r="Q62" s="1782"/>
      <c r="R62" s="1781"/>
      <c r="S62" s="456"/>
    </row>
    <row r="63" spans="2:19" ht="16.5" x14ac:dyDescent="0.3">
      <c r="B63" s="1784" t="s">
        <v>890</v>
      </c>
      <c r="C63" s="2214" t="str">
        <f>IF((H74=""),"",IF(H74="non-WSS",IF(H75="non-WSS","NO","YES"),"YES"))</f>
        <v>NO</v>
      </c>
      <c r="D63" s="2214"/>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14" t="str">
        <f>IF((H73=""),"",IF(H73="non-WSS","NO","YES"))</f>
        <v>NO</v>
      </c>
      <c r="D64" s="2214"/>
      <c r="E64" s="444"/>
      <c r="F64" s="444"/>
      <c r="G64" s="2216" t="s">
        <v>897</v>
      </c>
      <c r="H64" s="1764" t="s">
        <v>898</v>
      </c>
      <c r="I64" s="1772" t="s">
        <v>899</v>
      </c>
      <c r="J64" s="1772"/>
      <c r="K64" s="1772"/>
      <c r="L64" s="1772"/>
      <c r="M64" s="1773">
        <v>4</v>
      </c>
      <c r="N64" s="1760"/>
      <c r="O64" s="1759"/>
      <c r="P64" s="1763"/>
      <c r="Q64" s="1780"/>
      <c r="R64" s="1781"/>
      <c r="S64" s="456"/>
    </row>
    <row r="65" spans="2:19" ht="16.5" x14ac:dyDescent="0.3">
      <c r="B65" s="472" t="s">
        <v>900</v>
      </c>
      <c r="C65" s="2218" t="str">
        <f>IF((D55=""),"",IF(OR(D62="YES",D63="YES",D64="YES"),"YES", "NO"))</f>
        <v/>
      </c>
      <c r="D65" s="2218"/>
      <c r="E65" s="444"/>
      <c r="F65" s="444"/>
      <c r="G65" s="2217"/>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16"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17"/>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AM6:AV6"/>
    <mergeCell ref="G30:Z30"/>
    <mergeCell ref="G31:Z31"/>
    <mergeCell ref="G32:Z32"/>
    <mergeCell ref="S6:AB6"/>
    <mergeCell ref="AC6:AL6"/>
    <mergeCell ref="C1:H1"/>
    <mergeCell ref="C2:H2"/>
    <mergeCell ref="C3:H3"/>
    <mergeCell ref="B6:H6"/>
    <mergeCell ref="I6:R6"/>
    <mergeCell ref="I5:O5"/>
    <mergeCell ref="B4:H4"/>
    <mergeCell ref="G64:G65"/>
    <mergeCell ref="G67:G68"/>
    <mergeCell ref="C64:D64"/>
    <mergeCell ref="C65:D65"/>
    <mergeCell ref="B39:D39"/>
    <mergeCell ref="B40:D40"/>
    <mergeCell ref="B41:D41"/>
    <mergeCell ref="B42:D42"/>
    <mergeCell ref="C62:D62"/>
    <mergeCell ref="G33:Z34"/>
    <mergeCell ref="G35:Z36"/>
    <mergeCell ref="C36:D36"/>
    <mergeCell ref="C63:D63"/>
    <mergeCell ref="I62:J62"/>
    <mergeCell ref="K62:L62"/>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74" t="s">
        <v>938</v>
      </c>
      <c r="B1" s="2275"/>
      <c r="C1" s="732" t="s">
        <v>939</v>
      </c>
      <c r="D1" s="53" t="s">
        <v>917</v>
      </c>
      <c r="E1" s="2309"/>
      <c r="F1" s="2310"/>
      <c r="G1" s="2310"/>
      <c r="H1" s="2310"/>
      <c r="I1" s="2310"/>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77" t="str">
        <f>OF!A121</f>
        <v>OF22</v>
      </c>
      <c r="B3" s="2255"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v>
      </c>
      <c r="H3" s="2311" t="s">
        <v>945</v>
      </c>
      <c r="I3" s="2297" t="s">
        <v>946</v>
      </c>
    </row>
    <row r="4" spans="1:9" ht="25.5" x14ac:dyDescent="0.2">
      <c r="A4" s="2277"/>
      <c r="B4" s="2256"/>
      <c r="C4" s="302" t="str">
        <f>OF!C122</f>
        <v>&lt;0.01, or catchment size unknown due to stormwater pipes that collect water from an indeterminate area.</v>
      </c>
      <c r="D4" s="398">
        <f>OF!D122</f>
        <v>0</v>
      </c>
      <c r="E4" s="312">
        <v>0</v>
      </c>
      <c r="F4" s="274">
        <f>D4*E4</f>
        <v>0</v>
      </c>
      <c r="G4" s="191"/>
      <c r="H4" s="2312"/>
      <c r="I4" s="2298"/>
    </row>
    <row r="5" spans="1:9" x14ac:dyDescent="0.2">
      <c r="A5" s="2277"/>
      <c r="B5" s="2256"/>
      <c r="C5" s="303" t="str">
        <f>OF!C123</f>
        <v>0.01 to 0.1.</v>
      </c>
      <c r="D5" s="399">
        <f>OF!D123</f>
        <v>0</v>
      </c>
      <c r="E5" s="312">
        <v>1</v>
      </c>
      <c r="F5" s="274">
        <f>D5*E5</f>
        <v>0</v>
      </c>
      <c r="G5" s="192"/>
      <c r="H5" s="2312"/>
      <c r="I5" s="2298"/>
    </row>
    <row r="6" spans="1:9" x14ac:dyDescent="0.2">
      <c r="A6" s="2277"/>
      <c r="B6" s="2256"/>
      <c r="C6" s="303" t="str">
        <f>OF!C124</f>
        <v>0.1 to 1.</v>
      </c>
      <c r="D6" s="399">
        <f>OF!D124</f>
        <v>0</v>
      </c>
      <c r="E6" s="312">
        <v>2</v>
      </c>
      <c r="F6" s="274">
        <f>D6*E6</f>
        <v>0</v>
      </c>
      <c r="G6" s="192"/>
      <c r="H6" s="2312"/>
      <c r="I6" s="2298"/>
    </row>
    <row r="7" spans="1:9" ht="26.25" thickBot="1" x14ac:dyDescent="0.25">
      <c r="A7" s="2277"/>
      <c r="B7" s="2256"/>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313"/>
      <c r="I7" s="2299"/>
    </row>
    <row r="8" spans="1:9" ht="77.25" thickBot="1" x14ac:dyDescent="0.25">
      <c r="A8" s="2279" t="str">
        <f>OF!A139</f>
        <v>OF26</v>
      </c>
      <c r="B8" s="2255"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v>
      </c>
      <c r="H8" s="2268" t="s">
        <v>947</v>
      </c>
      <c r="I8" s="2297" t="s">
        <v>948</v>
      </c>
    </row>
    <row r="9" spans="1:9" x14ac:dyDescent="0.2">
      <c r="A9" s="2280"/>
      <c r="B9" s="2256"/>
      <c r="C9" s="302" t="str">
        <f>OF!C140</f>
        <v>&lt;10 m</v>
      </c>
      <c r="D9" s="398">
        <f>OF!D140</f>
        <v>0</v>
      </c>
      <c r="E9" s="312">
        <v>0</v>
      </c>
      <c r="F9" s="274">
        <f t="shared" ref="F9:F14" si="0">D9*E9</f>
        <v>0</v>
      </c>
      <c r="G9" s="192"/>
      <c r="H9" s="2269"/>
      <c r="I9" s="2298"/>
    </row>
    <row r="10" spans="1:9" x14ac:dyDescent="0.2">
      <c r="A10" s="2280"/>
      <c r="B10" s="2256"/>
      <c r="C10" s="303" t="str">
        <f>OF!C141</f>
        <v>10 - 50 m</v>
      </c>
      <c r="D10" s="399">
        <f>OF!D141</f>
        <v>0</v>
      </c>
      <c r="E10" s="312">
        <v>1</v>
      </c>
      <c r="F10" s="274">
        <f t="shared" si="0"/>
        <v>0</v>
      </c>
      <c r="G10" s="192"/>
      <c r="H10" s="2269"/>
      <c r="I10" s="2298"/>
    </row>
    <row r="11" spans="1:9" x14ac:dyDescent="0.2">
      <c r="A11" s="2280"/>
      <c r="B11" s="2256"/>
      <c r="C11" s="303" t="str">
        <f>OF!C142</f>
        <v>50 - 100 m</v>
      </c>
      <c r="D11" s="399">
        <f>OF!D142</f>
        <v>0</v>
      </c>
      <c r="E11" s="312">
        <v>2</v>
      </c>
      <c r="F11" s="274">
        <f t="shared" si="0"/>
        <v>0</v>
      </c>
      <c r="G11" s="192"/>
      <c r="H11" s="2269"/>
      <c r="I11" s="2298"/>
    </row>
    <row r="12" spans="1:9" x14ac:dyDescent="0.2">
      <c r="A12" s="2280"/>
      <c r="B12" s="2256"/>
      <c r="C12" s="303" t="str">
        <f>OF!C143</f>
        <v>100 - 1000 m</v>
      </c>
      <c r="D12" s="399">
        <f>OF!D143</f>
        <v>0</v>
      </c>
      <c r="E12" s="312">
        <v>3</v>
      </c>
      <c r="F12" s="274">
        <f t="shared" si="0"/>
        <v>0</v>
      </c>
      <c r="G12" s="192"/>
      <c r="H12" s="2269"/>
      <c r="I12" s="2298"/>
    </row>
    <row r="13" spans="1:9" x14ac:dyDescent="0.2">
      <c r="A13" s="2280"/>
      <c r="B13" s="2256"/>
      <c r="C13" s="303" t="str">
        <f>OF!C144</f>
        <v>1- 2 km</v>
      </c>
      <c r="D13" s="399">
        <f>OF!D144</f>
        <v>0</v>
      </c>
      <c r="E13" s="312">
        <v>4</v>
      </c>
      <c r="F13" s="274">
        <f t="shared" si="0"/>
        <v>0</v>
      </c>
      <c r="G13" s="192"/>
      <c r="H13" s="2269"/>
      <c r="I13" s="2298"/>
    </row>
    <row r="14" spans="1:9" ht="17.25" thickBot="1" x14ac:dyDescent="0.25">
      <c r="A14" s="2281"/>
      <c r="B14" s="2257"/>
      <c r="C14" s="571" t="str">
        <f>OF!C145</f>
        <v>&gt;2 km</v>
      </c>
      <c r="D14" s="400">
        <f>OF!D145</f>
        <v>0</v>
      </c>
      <c r="E14" s="315">
        <v>6</v>
      </c>
      <c r="F14" s="276">
        <f t="shared" si="0"/>
        <v>0</v>
      </c>
      <c r="G14" s="193"/>
      <c r="H14" s="2270"/>
      <c r="I14" s="2299"/>
    </row>
    <row r="15" spans="1:9" ht="51.75" customHeight="1" thickBot="1" x14ac:dyDescent="0.25">
      <c r="A15" s="2265" t="str">
        <f>F!A19</f>
        <v>F3</v>
      </c>
      <c r="B15" s="2246"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49" t="s">
        <v>9166</v>
      </c>
      <c r="I15" s="2252" t="s">
        <v>949</v>
      </c>
    </row>
    <row r="16" spans="1:9" x14ac:dyDescent="0.2">
      <c r="A16" s="2262"/>
      <c r="B16" s="2247"/>
      <c r="C16" s="700" t="str">
        <f>F!C20</f>
        <v>evergreen trees (may include tamarack) taller than 6 m.</v>
      </c>
      <c r="D16" s="399">
        <f>F!D20</f>
        <v>0</v>
      </c>
      <c r="E16" s="312"/>
      <c r="F16" s="274"/>
      <c r="G16" s="757"/>
      <c r="H16" s="2250"/>
      <c r="I16" s="2253"/>
    </row>
    <row r="17" spans="1:10" ht="12.75" x14ac:dyDescent="0.2">
      <c r="A17" s="2262"/>
      <c r="B17" s="2247"/>
      <c r="C17" s="700" t="str">
        <f>F!C21</f>
        <v>deciduous trees taller than 6 m.</v>
      </c>
      <c r="D17" s="399">
        <f>F!D21</f>
        <v>0</v>
      </c>
      <c r="E17" s="312"/>
      <c r="F17" s="274"/>
      <c r="G17" s="757"/>
      <c r="H17" s="2250"/>
      <c r="I17" s="2253"/>
      <c r="J17" s="2022"/>
    </row>
    <row r="18" spans="1:10" x14ac:dyDescent="0.2">
      <c r="A18" s="2262"/>
      <c r="B18" s="2247"/>
      <c r="C18" s="700" t="str">
        <f>F!C22</f>
        <v>evergreen shrubs or trees 2 to 6 m tall not directly below the canopy of trees.</v>
      </c>
      <c r="D18" s="399">
        <f>F!D22</f>
        <v>0</v>
      </c>
      <c r="E18" s="312"/>
      <c r="F18" s="274"/>
      <c r="G18" s="757"/>
      <c r="H18" s="2250"/>
      <c r="I18" s="2253"/>
    </row>
    <row r="19" spans="1:10" x14ac:dyDescent="0.2">
      <c r="A19" s="2262"/>
      <c r="B19" s="2247"/>
      <c r="C19" s="700" t="str">
        <f>F!C23</f>
        <v>deciduous shrubs or trees 2 to 6 m tall not directly below the canopy of trees.</v>
      </c>
      <c r="D19" s="399">
        <f>F!D23</f>
        <v>0</v>
      </c>
      <c r="E19" s="312"/>
      <c r="F19" s="274"/>
      <c r="G19" s="757"/>
      <c r="H19" s="2250"/>
      <c r="I19" s="2253"/>
    </row>
    <row r="20" spans="1:10" x14ac:dyDescent="0.2">
      <c r="A20" s="2262"/>
      <c r="B20" s="2247"/>
      <c r="C20" s="700" t="str">
        <f>F!C24</f>
        <v>evergreen vegetation 0.5 to 2 m tall not directly below the canopy of taller vegetation.</v>
      </c>
      <c r="D20" s="399">
        <f>F!D24</f>
        <v>0</v>
      </c>
      <c r="E20" s="312"/>
      <c r="F20" s="274"/>
      <c r="G20" s="757"/>
      <c r="H20" s="2250"/>
      <c r="I20" s="2253"/>
    </row>
    <row r="21" spans="1:10" ht="25.5" x14ac:dyDescent="0.2">
      <c r="A21" s="2262"/>
      <c r="B21" s="2247"/>
      <c r="C21" s="698" t="str">
        <f>F!C25</f>
        <v>deciduous vegetation 0.5 to 2 m tall (e.g., deciduous seedlings) not directly below the canopy of taller vegetation.</v>
      </c>
      <c r="D21" s="411">
        <f>F!D25</f>
        <v>0</v>
      </c>
      <c r="E21" s="2106"/>
      <c r="F21" s="312"/>
      <c r="G21" s="312"/>
      <c r="H21" s="2250"/>
      <c r="I21" s="2253"/>
    </row>
    <row r="22" spans="1:10" ht="17.25" thickBot="1" x14ac:dyDescent="0.25">
      <c r="A22" s="1151"/>
      <c r="B22" s="2248"/>
      <c r="C22" s="292" t="s">
        <v>272</v>
      </c>
      <c r="D22" s="411">
        <f>F!D26</f>
        <v>0</v>
      </c>
      <c r="E22" s="312"/>
      <c r="F22" s="312"/>
      <c r="G22" s="312"/>
      <c r="H22" s="2251"/>
      <c r="I22" s="2254"/>
    </row>
    <row r="23" spans="1:10" ht="64.5" thickBot="1" x14ac:dyDescent="0.25">
      <c r="A23" s="2265" t="str">
        <f>F!A124</f>
        <v>F20</v>
      </c>
      <c r="B23" s="2246"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49" t="s">
        <v>950</v>
      </c>
      <c r="I23" s="2297" t="s">
        <v>951</v>
      </c>
    </row>
    <row r="24" spans="1:10" ht="25.5" x14ac:dyDescent="0.2">
      <c r="A24" s="2262"/>
      <c r="B24" s="2247"/>
      <c r="C24" s="700" t="str">
        <f>F!C125</f>
        <v>Few or none (minimal microtopography; &lt;1% of the land has such features, or entire AA is always water-covered).</v>
      </c>
      <c r="D24" s="399">
        <f>F!D125</f>
        <v>0</v>
      </c>
      <c r="E24" s="312">
        <v>0</v>
      </c>
      <c r="F24" s="314">
        <f>D24*E24</f>
        <v>0</v>
      </c>
      <c r="G24" s="191"/>
      <c r="H24" s="2250"/>
      <c r="I24" s="2298"/>
    </row>
    <row r="25" spans="1:10" x14ac:dyDescent="0.2">
      <c r="A25" s="2262"/>
      <c r="B25" s="2247"/>
      <c r="C25" s="700" t="str">
        <f>F!C126</f>
        <v>Intermediate.</v>
      </c>
      <c r="D25" s="399">
        <f>F!D126</f>
        <v>0</v>
      </c>
      <c r="E25" s="312">
        <v>2</v>
      </c>
      <c r="F25" s="314">
        <f>D25*E25</f>
        <v>0</v>
      </c>
      <c r="G25" s="192"/>
      <c r="H25" s="2250"/>
      <c r="I25" s="2298"/>
    </row>
    <row r="26" spans="1:10" ht="17.25" thickBot="1" x14ac:dyDescent="0.25">
      <c r="A26" s="2263"/>
      <c r="B26" s="2248"/>
      <c r="C26" s="696" t="str">
        <f>F!C127</f>
        <v>Several (extensive micro-topography).</v>
      </c>
      <c r="D26" s="400">
        <f>F!D127</f>
        <v>0</v>
      </c>
      <c r="E26" s="315">
        <v>3</v>
      </c>
      <c r="F26" s="276">
        <f>D26*E26</f>
        <v>0</v>
      </c>
      <c r="G26" s="193"/>
      <c r="H26" s="2251"/>
      <c r="I26" s="2299"/>
    </row>
    <row r="27" spans="1:10" ht="26.25" thickBot="1" x14ac:dyDescent="0.25">
      <c r="A27" s="2278" t="str">
        <f>F!A128</f>
        <v>F21</v>
      </c>
      <c r="B27" s="2264" t="str">
        <f>F!B128</f>
        <v>Soil Texture [WS, SFTS, PR, NR,WFR, CSP, CC, APP, PH, Sens]</v>
      </c>
      <c r="C27" s="746" t="str">
        <f>F!C128</f>
        <v>In parts of the AA that lack persistent water, the texture of soil in the uppermost (&lt;20 cm) layer is mostly:</v>
      </c>
      <c r="D27" s="758"/>
      <c r="E27" s="310"/>
      <c r="F27" s="311"/>
      <c r="G27" s="348">
        <f>MAX(F28:F32)/MAX(E28:E32)</f>
        <v>0</v>
      </c>
      <c r="H27" s="2250" t="s">
        <v>8845</v>
      </c>
      <c r="I27" s="2314" t="s">
        <v>952</v>
      </c>
    </row>
    <row r="28" spans="1:10" ht="25.5" x14ac:dyDescent="0.2">
      <c r="A28" s="2278"/>
      <c r="B28" s="2264"/>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50"/>
      <c r="I28" s="2298"/>
    </row>
    <row r="29" spans="1:10" ht="25.5" x14ac:dyDescent="0.2">
      <c r="A29" s="2278"/>
      <c r="B29" s="2264"/>
      <c r="C29" s="747" t="str">
        <f>F!C130</f>
        <v>Fines: includes silt, clay, silt, soils that make a ribbon longer than 2 cm when moistened, rolled, squeezed, and extended between thumb and forefinger.</v>
      </c>
      <c r="D29" s="448">
        <f>F!D130</f>
        <v>0</v>
      </c>
      <c r="E29" s="312">
        <v>0</v>
      </c>
      <c r="F29" s="274">
        <f>D29*E29</f>
        <v>0</v>
      </c>
      <c r="G29" s="192"/>
      <c r="H29" s="2250"/>
      <c r="I29" s="2298"/>
    </row>
    <row r="30" spans="1:10" ht="12.75" x14ac:dyDescent="0.2">
      <c r="A30" s="2278"/>
      <c r="B30" s="2264"/>
      <c r="C30" s="747" t="str">
        <f>F!C131</f>
        <v>Deep Peat, to 40 cm (16 inch) depth or greater.</v>
      </c>
      <c r="D30" s="448">
        <f>F!D131</f>
        <v>0</v>
      </c>
      <c r="E30" s="312">
        <v>2</v>
      </c>
      <c r="F30" s="274">
        <f>D30*E30</f>
        <v>0</v>
      </c>
      <c r="G30" s="192"/>
      <c r="H30" s="2250"/>
      <c r="I30" s="2298"/>
      <c r="J30" s="2022"/>
    </row>
    <row r="31" spans="1:10" ht="12.75" x14ac:dyDescent="0.2">
      <c r="A31" s="2278"/>
      <c r="B31" s="2264"/>
      <c r="C31" s="747" t="str">
        <f>F!C132</f>
        <v xml:space="preserve">Shallow Peat or organic &lt;40 cm deep. </v>
      </c>
      <c r="D31" s="448">
        <f>F!D132</f>
        <v>0</v>
      </c>
      <c r="E31" s="312">
        <v>2</v>
      </c>
      <c r="F31" s="274">
        <f>D31*E31</f>
        <v>0</v>
      </c>
      <c r="G31" s="192"/>
      <c r="H31" s="2250"/>
      <c r="I31" s="2298"/>
      <c r="J31" s="256"/>
    </row>
    <row r="32" spans="1:10" ht="26.25" thickBot="1" x14ac:dyDescent="0.25">
      <c r="A32" s="2278"/>
      <c r="B32" s="2264"/>
      <c r="C32" s="748" t="str">
        <f>F!C133</f>
        <v>Coarse: includes sand, loamy sand, gravel, cobble, soils that do not make a ribbon when moistened, rolled, squeezed, and extended between thumb and forefinger.</v>
      </c>
      <c r="D32" s="1443">
        <f>F!D133</f>
        <v>0</v>
      </c>
      <c r="E32" s="313">
        <v>4</v>
      </c>
      <c r="F32" s="314">
        <f>D32*E32</f>
        <v>0</v>
      </c>
      <c r="G32" s="211"/>
      <c r="H32" s="2250"/>
      <c r="I32" s="2300"/>
    </row>
    <row r="33" spans="1:9" ht="26.25" thickBot="1" x14ac:dyDescent="0.25">
      <c r="A33" s="2265" t="str">
        <f>F!A135</f>
        <v>F22</v>
      </c>
      <c r="B33" s="2255"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v>
      </c>
      <c r="H33" s="2249" t="s">
        <v>953</v>
      </c>
      <c r="I33" s="2297" t="s">
        <v>954</v>
      </c>
    </row>
    <row r="34" spans="1:9" x14ac:dyDescent="0.2">
      <c r="A34" s="2262"/>
      <c r="B34" s="2256"/>
      <c r="C34" s="700" t="str">
        <f>F!C136</f>
        <v xml:space="preserve">None, or &lt;0.01 hectare and &lt;1% of the AA. </v>
      </c>
      <c r="D34" s="399">
        <f>F!D136</f>
        <v>0</v>
      </c>
      <c r="E34" s="312">
        <v>0</v>
      </c>
      <c r="F34" s="314">
        <f>D34*E34</f>
        <v>0</v>
      </c>
      <c r="G34" s="238"/>
      <c r="H34" s="2250"/>
      <c r="I34" s="2298"/>
    </row>
    <row r="35" spans="1:9" x14ac:dyDescent="0.2">
      <c r="A35" s="2262"/>
      <c r="B35" s="2256"/>
      <c r="C35" s="700" t="str">
        <f>F!C137</f>
        <v>1-20% of the AA, or &lt;1% but &gt;0.01 ha.</v>
      </c>
      <c r="D35" s="399">
        <f>F!D137</f>
        <v>0</v>
      </c>
      <c r="E35" s="312">
        <v>2</v>
      </c>
      <c r="F35" s="314">
        <f>D35*E35</f>
        <v>0</v>
      </c>
      <c r="G35" s="211"/>
      <c r="H35" s="2250"/>
      <c r="I35" s="2298"/>
    </row>
    <row r="36" spans="1:9" x14ac:dyDescent="0.2">
      <c r="A36" s="2262"/>
      <c r="B36" s="2256"/>
      <c r="C36" s="700" t="str">
        <f>F!C138</f>
        <v>20-50% of the AA.</v>
      </c>
      <c r="D36" s="399">
        <f>F!D138</f>
        <v>0</v>
      </c>
      <c r="E36" s="312">
        <v>3</v>
      </c>
      <c r="F36" s="314">
        <f>D36*E36</f>
        <v>0</v>
      </c>
      <c r="G36" s="211"/>
      <c r="H36" s="2250"/>
      <c r="I36" s="2298"/>
    </row>
    <row r="37" spans="1:9" x14ac:dyDescent="0.2">
      <c r="A37" s="2262"/>
      <c r="B37" s="2256"/>
      <c r="C37" s="700" t="str">
        <f>F!C139</f>
        <v>50-95% of the AA.</v>
      </c>
      <c r="D37" s="399">
        <f>F!D139</f>
        <v>0</v>
      </c>
      <c r="E37" s="312">
        <v>4</v>
      </c>
      <c r="F37" s="314">
        <f>D37*E37</f>
        <v>0</v>
      </c>
      <c r="G37" s="211"/>
      <c r="H37" s="2250"/>
      <c r="I37" s="2298"/>
    </row>
    <row r="38" spans="1:9" ht="17.25" thickBot="1" x14ac:dyDescent="0.25">
      <c r="A38" s="2263"/>
      <c r="B38" s="2257"/>
      <c r="C38" s="696" t="str">
        <f>F!C140</f>
        <v xml:space="preserve">&gt;95% of the AA. </v>
      </c>
      <c r="D38" s="400">
        <f>F!D140</f>
        <v>0</v>
      </c>
      <c r="E38" s="315">
        <v>5</v>
      </c>
      <c r="F38" s="276">
        <f>D38*E38</f>
        <v>0</v>
      </c>
      <c r="G38" s="193"/>
      <c r="H38" s="2251"/>
      <c r="I38" s="2299"/>
    </row>
    <row r="39" spans="1:9" ht="26.25" thickBot="1" x14ac:dyDescent="0.25">
      <c r="A39" s="2262" t="str">
        <f>F!A168</f>
        <v>F28</v>
      </c>
      <c r="B39" s="2256"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50" t="s">
        <v>955</v>
      </c>
      <c r="I39" s="2314" t="s">
        <v>954</v>
      </c>
    </row>
    <row r="40" spans="1:9" x14ac:dyDescent="0.2">
      <c r="A40" s="2262"/>
      <c r="B40" s="2256"/>
      <c r="C40" s="695" t="str">
        <f>F!C169</f>
        <v>&lt;10 cm change (stable or nearly so).</v>
      </c>
      <c r="D40" s="650">
        <f>F!D169</f>
        <v>0</v>
      </c>
      <c r="E40" s="312">
        <v>0</v>
      </c>
      <c r="F40" s="314">
        <f>D40*E40</f>
        <v>0</v>
      </c>
      <c r="G40" s="238"/>
      <c r="H40" s="2250"/>
      <c r="I40" s="2298"/>
    </row>
    <row r="41" spans="1:9" x14ac:dyDescent="0.2">
      <c r="A41" s="2262"/>
      <c r="B41" s="2256"/>
      <c r="C41" s="700" t="str">
        <f>F!C170</f>
        <v>10 cm - 50 cm change.</v>
      </c>
      <c r="D41" s="651">
        <f>F!D170</f>
        <v>0</v>
      </c>
      <c r="E41" s="312">
        <v>1</v>
      </c>
      <c r="F41" s="314">
        <f>D41*E41</f>
        <v>0</v>
      </c>
      <c r="G41" s="211"/>
      <c r="H41" s="2250"/>
      <c r="I41" s="2298"/>
    </row>
    <row r="42" spans="1:9" x14ac:dyDescent="0.2">
      <c r="A42" s="2262"/>
      <c r="B42" s="2256"/>
      <c r="C42" s="700" t="str">
        <f>F!C171</f>
        <v>0.5 - 1 m change.</v>
      </c>
      <c r="D42" s="651">
        <f>F!D171</f>
        <v>0</v>
      </c>
      <c r="E42" s="312">
        <v>2</v>
      </c>
      <c r="F42" s="314">
        <f>D42*E42</f>
        <v>0</v>
      </c>
      <c r="G42" s="211"/>
      <c r="H42" s="2250"/>
      <c r="I42" s="2298"/>
    </row>
    <row r="43" spans="1:9" x14ac:dyDescent="0.2">
      <c r="A43" s="2262"/>
      <c r="B43" s="2256"/>
      <c r="C43" s="700" t="str">
        <f>F!C172</f>
        <v>1-2 m change.</v>
      </c>
      <c r="D43" s="651">
        <f>F!D172</f>
        <v>0</v>
      </c>
      <c r="E43" s="313">
        <v>4</v>
      </c>
      <c r="F43" s="314">
        <f>D43*E43</f>
        <v>0</v>
      </c>
      <c r="G43" s="211"/>
      <c r="H43" s="2250"/>
      <c r="I43" s="2300"/>
    </row>
    <row r="44" spans="1:9" ht="17.25" thickBot="1" x14ac:dyDescent="0.25">
      <c r="A44" s="2263"/>
      <c r="B44" s="2257"/>
      <c r="C44" s="700" t="str">
        <f>F!C173</f>
        <v>&gt;2 m change.</v>
      </c>
      <c r="D44" s="651">
        <f>F!D173</f>
        <v>0</v>
      </c>
      <c r="E44" s="315">
        <v>7</v>
      </c>
      <c r="F44" s="276">
        <f>D44*E44</f>
        <v>0</v>
      </c>
      <c r="G44" s="193"/>
      <c r="H44" s="2251"/>
      <c r="I44" s="2299"/>
    </row>
    <row r="45" spans="1:9" ht="26.25" thickBot="1" x14ac:dyDescent="0.25">
      <c r="A45" s="2261" t="str">
        <f>F!A187</f>
        <v>F31</v>
      </c>
      <c r="B45" s="2255"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v>
      </c>
      <c r="H45" s="2249" t="s">
        <v>956</v>
      </c>
      <c r="I45" s="2297" t="s">
        <v>957</v>
      </c>
    </row>
    <row r="46" spans="1:9" ht="25.5" x14ac:dyDescent="0.2">
      <c r="A46" s="2262"/>
      <c r="B46" s="2256"/>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50"/>
      <c r="I46" s="2298"/>
    </row>
    <row r="47" spans="1:9" x14ac:dyDescent="0.2">
      <c r="A47" s="2262"/>
      <c r="B47" s="2256"/>
      <c r="C47" s="700" t="str">
        <f>F!C189</f>
        <v>5-30% of the water.</v>
      </c>
      <c r="D47" s="651">
        <f>F!D189</f>
        <v>0</v>
      </c>
      <c r="E47" s="312">
        <v>2</v>
      </c>
      <c r="F47" s="314">
        <f>D47*E47</f>
        <v>0</v>
      </c>
      <c r="G47" s="211"/>
      <c r="H47" s="2250"/>
      <c r="I47" s="2298"/>
    </row>
    <row r="48" spans="1:9" x14ac:dyDescent="0.2">
      <c r="A48" s="2262"/>
      <c r="B48" s="2256"/>
      <c r="C48" s="700" t="str">
        <f>F!C190</f>
        <v>30-70% of the water.</v>
      </c>
      <c r="D48" s="651">
        <f>F!D190</f>
        <v>0</v>
      </c>
      <c r="E48" s="312">
        <v>3</v>
      </c>
      <c r="F48" s="314">
        <f>D48*E48</f>
        <v>0</v>
      </c>
      <c r="G48" s="211"/>
      <c r="H48" s="2250"/>
      <c r="I48" s="2298"/>
    </row>
    <row r="49" spans="1:10" x14ac:dyDescent="0.2">
      <c r="A49" s="2262"/>
      <c r="B49" s="2256"/>
      <c r="C49" s="700" t="str">
        <f>F!C191</f>
        <v>70-95% of the water.</v>
      </c>
      <c r="D49" s="651">
        <f>F!D191</f>
        <v>0</v>
      </c>
      <c r="E49" s="312">
        <v>4</v>
      </c>
      <c r="F49" s="314">
        <f>D49*E49</f>
        <v>0</v>
      </c>
      <c r="G49" s="211"/>
      <c r="H49" s="2250"/>
      <c r="I49" s="2298"/>
    </row>
    <row r="50" spans="1:10" ht="17.25" thickBot="1" x14ac:dyDescent="0.25">
      <c r="A50" s="2263"/>
      <c r="B50" s="2257"/>
      <c r="C50" s="696" t="str">
        <f>F!C192</f>
        <v>&gt;95% of the water. Includes but not limited to wetlands with no outlets (F42).</v>
      </c>
      <c r="D50" s="680">
        <f>F!D192</f>
        <v>0</v>
      </c>
      <c r="E50" s="315">
        <v>5</v>
      </c>
      <c r="F50" s="276">
        <f>D50*E50</f>
        <v>0</v>
      </c>
      <c r="G50" s="193"/>
      <c r="H50" s="2251"/>
      <c r="I50" s="2299"/>
    </row>
    <row r="51" spans="1:10" ht="77.25" thickBot="1" x14ac:dyDescent="0.25">
      <c r="A51" s="2265" t="str">
        <f>F!A232</f>
        <v>F43</v>
      </c>
      <c r="B51" s="2255"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49" t="s">
        <v>958</v>
      </c>
      <c r="I51" s="2314" t="s">
        <v>959</v>
      </c>
    </row>
    <row r="52" spans="1:10" x14ac:dyDescent="0.2">
      <c r="A52" s="2262"/>
      <c r="B52" s="2256"/>
      <c r="C52" s="695" t="str">
        <f>F!C233</f>
        <v>Persistent (surface water flows out for &gt;9 months/year).</v>
      </c>
      <c r="D52" s="650">
        <f>F!D233</f>
        <v>0</v>
      </c>
      <c r="E52" s="273">
        <v>0</v>
      </c>
      <c r="F52" s="314">
        <f>D52*E52</f>
        <v>0</v>
      </c>
      <c r="G52" s="238"/>
      <c r="H52" s="2250"/>
      <c r="I52" s="2298"/>
    </row>
    <row r="53" spans="1:10" ht="25.5" x14ac:dyDescent="0.2">
      <c r="A53" s="2262"/>
      <c r="B53" s="2256"/>
      <c r="C53" s="700" t="str">
        <f>F!C234</f>
        <v>Seasonal (surface water flows out for 14 days to 9 months/year, not necessarily consecutive).</v>
      </c>
      <c r="D53" s="651">
        <f>F!D234</f>
        <v>0</v>
      </c>
      <c r="E53" s="273">
        <v>3</v>
      </c>
      <c r="F53" s="314">
        <f>D53*E53</f>
        <v>0</v>
      </c>
      <c r="G53" s="211"/>
      <c r="H53" s="2250"/>
      <c r="I53" s="2298"/>
    </row>
    <row r="54" spans="1:10" x14ac:dyDescent="0.2">
      <c r="A54" s="2262"/>
      <c r="B54" s="2256"/>
      <c r="C54" s="700" t="str">
        <f>F!C235</f>
        <v>Temporary (surface water flows out for &lt;14 days, not necessarily consecutive).</v>
      </c>
      <c r="D54" s="651">
        <f>F!D235</f>
        <v>0</v>
      </c>
      <c r="E54" s="273">
        <v>4</v>
      </c>
      <c r="F54" s="314">
        <f>D54*E54</f>
        <v>0</v>
      </c>
      <c r="G54" s="211"/>
      <c r="H54" s="2250"/>
      <c r="I54" s="2298"/>
    </row>
    <row r="55" spans="1:10" ht="51" x14ac:dyDescent="0.2">
      <c r="A55" s="2262"/>
      <c r="B55" s="2256"/>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50"/>
      <c r="I55" s="2298"/>
    </row>
    <row r="56" spans="1:10" ht="39" thickBot="1" x14ac:dyDescent="0.25">
      <c r="A56" s="2263"/>
      <c r="B56" s="2257"/>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51"/>
      <c r="I56" s="2300"/>
    </row>
    <row r="57" spans="1:10" ht="26.25" thickBot="1" x14ac:dyDescent="0.25">
      <c r="A57" s="2282" t="str">
        <f>F!A239</f>
        <v>F44</v>
      </c>
      <c r="B57" s="2256"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50" t="s">
        <v>8758</v>
      </c>
      <c r="I57" s="2297" t="s">
        <v>960</v>
      </c>
    </row>
    <row r="58" spans="1:10" ht="38.25" x14ac:dyDescent="0.2">
      <c r="A58" s="2282"/>
      <c r="B58" s="2256"/>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50"/>
      <c r="I58" s="2298"/>
    </row>
    <row r="59" spans="1:10" ht="25.5" x14ac:dyDescent="0.2">
      <c r="A59" s="2282"/>
      <c r="B59" s="2256"/>
      <c r="C59" s="698" t="str">
        <f>F!C241</f>
        <v>Leaves through natural exits (channels or diffuse outflow), not mainly through artificial or temporary features.</v>
      </c>
      <c r="D59" s="652">
        <f>F!D241</f>
        <v>0</v>
      </c>
      <c r="E59" s="312">
        <v>2</v>
      </c>
      <c r="F59" s="274">
        <f>D59*E59</f>
        <v>0</v>
      </c>
      <c r="G59" s="238"/>
      <c r="H59" s="2250"/>
      <c r="I59" s="2298"/>
    </row>
    <row r="60" spans="1:10" ht="39" thickBot="1" x14ac:dyDescent="0.25">
      <c r="A60" s="2282"/>
      <c r="B60" s="2256"/>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50"/>
      <c r="I60" s="2299"/>
    </row>
    <row r="61" spans="1:10" ht="26.25" thickBot="1" x14ac:dyDescent="0.25">
      <c r="A61" s="2265" t="str">
        <f>F!A244</f>
        <v>F45</v>
      </c>
      <c r="B61" s="2255"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49" t="s">
        <v>8846</v>
      </c>
      <c r="I61" s="2314" t="s">
        <v>961</v>
      </c>
    </row>
    <row r="62" spans="1:10" ht="43.5" customHeight="1" x14ac:dyDescent="0.2">
      <c r="A62" s="2262"/>
      <c r="B62" s="2256"/>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50"/>
      <c r="I62" s="2298"/>
      <c r="J62" s="2022"/>
    </row>
    <row r="63" spans="1:10" x14ac:dyDescent="0.2">
      <c r="A63" s="2262"/>
      <c r="B63" s="2256"/>
      <c r="C63" s="700" t="str">
        <f>F!C246</f>
        <v>Bumps into herbaceous vegetation but mostly remains in fairly straight channels.</v>
      </c>
      <c r="D63" s="651">
        <f>F!D246</f>
        <v>0</v>
      </c>
      <c r="E63" s="312">
        <v>3</v>
      </c>
      <c r="F63" s="274">
        <f>D63*E63</f>
        <v>0</v>
      </c>
      <c r="G63" s="192"/>
      <c r="H63" s="2250"/>
      <c r="I63" s="2298"/>
    </row>
    <row r="64" spans="1:10" ht="25.5" x14ac:dyDescent="0.2">
      <c r="A64" s="2262"/>
      <c r="B64" s="2256"/>
      <c r="C64" s="700" t="str">
        <f>F!C247</f>
        <v>Bumps into herbaceous vegetation and mostly spreads throughout, or is in widely meandering, multi-branched, or braided channels.</v>
      </c>
      <c r="D64" s="651">
        <f>F!D247</f>
        <v>0</v>
      </c>
      <c r="E64" s="312">
        <v>4</v>
      </c>
      <c r="F64" s="274">
        <f>D64*E64</f>
        <v>0</v>
      </c>
      <c r="G64" s="192"/>
      <c r="H64" s="2250"/>
      <c r="I64" s="2298"/>
    </row>
    <row r="65" spans="1:9" ht="15.75" customHeight="1" x14ac:dyDescent="0.2">
      <c r="A65" s="2262"/>
      <c r="B65" s="2256"/>
      <c r="C65" s="700" t="str">
        <f>F!C248</f>
        <v>Bumps into tree trunks and/or shrub stems but mostly remains in fairly straight channels.</v>
      </c>
      <c r="D65" s="651">
        <f>F!D248</f>
        <v>0</v>
      </c>
      <c r="E65" s="312">
        <v>6</v>
      </c>
      <c r="F65" s="274">
        <f>D65*E65</f>
        <v>0</v>
      </c>
      <c r="G65" s="192"/>
      <c r="H65" s="2250"/>
      <c r="I65" s="2298"/>
    </row>
    <row r="66" spans="1:9" ht="26.25" thickBot="1" x14ac:dyDescent="0.25">
      <c r="A66" s="2263"/>
      <c r="B66" s="2257"/>
      <c r="C66" s="696" t="str">
        <f>F!C249</f>
        <v>Bumps into tree trunks and/or shrub stems and follows a fairly indirect path from entrance to exit (meandering, multi-branched, or braided).</v>
      </c>
      <c r="D66" s="680">
        <f>F!D249</f>
        <v>0</v>
      </c>
      <c r="E66" s="315">
        <v>8</v>
      </c>
      <c r="F66" s="276">
        <f>D66*E66</f>
        <v>0</v>
      </c>
      <c r="G66" s="193"/>
      <c r="H66" s="2251"/>
      <c r="I66" s="2300"/>
    </row>
    <row r="67" spans="1:9" ht="17.25" thickBot="1" x14ac:dyDescent="0.25">
      <c r="A67" s="2261" t="str">
        <f>F!A255</f>
        <v>F48</v>
      </c>
      <c r="B67" s="2283" t="str">
        <f>F!B255</f>
        <v>Groundwater Strength of Evidence [WS, SFTS, PRb, NR, APP, FA, FR, AM]</v>
      </c>
      <c r="C67" s="745" t="str">
        <f>F!C255</f>
        <v>Select first applicable choice:</v>
      </c>
      <c r="D67" s="755"/>
      <c r="E67" s="271"/>
      <c r="F67" s="316"/>
      <c r="G67" s="165">
        <f>MAX(F68:F70)/MAX(E68:E70)</f>
        <v>0</v>
      </c>
      <c r="H67" s="2268" t="s">
        <v>962</v>
      </c>
      <c r="I67" s="2297" t="s">
        <v>963</v>
      </c>
    </row>
    <row r="68" spans="1:9" ht="54" customHeight="1" x14ac:dyDescent="0.2">
      <c r="A68" s="2284"/>
      <c r="B68" s="2264"/>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269"/>
      <c r="I68" s="2298"/>
    </row>
    <row r="69" spans="1:9" ht="38.25" x14ac:dyDescent="0.2">
      <c r="A69" s="2284"/>
      <c r="B69" s="2264"/>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269"/>
      <c r="I69" s="2298"/>
    </row>
    <row r="70" spans="1:9" ht="26.25" thickBot="1" x14ac:dyDescent="0.25">
      <c r="A70" s="2285"/>
      <c r="B70" s="2264"/>
      <c r="C70" s="748" t="str">
        <f>F!C258</f>
        <v>Neither of above is true, although some groundwater may discharge to or flow through the AA. Or groundwater influx is unknown.</v>
      </c>
      <c r="D70" s="728">
        <f>F!D258</f>
        <v>0</v>
      </c>
      <c r="E70" s="313">
        <v>3</v>
      </c>
      <c r="F70" s="314">
        <f>D70*E70</f>
        <v>0</v>
      </c>
      <c r="G70" s="211"/>
      <c r="H70" s="2269"/>
      <c r="I70" s="2300"/>
    </row>
    <row r="71" spans="1:9" ht="17.25" thickBot="1" x14ac:dyDescent="0.25">
      <c r="A71" s="2265" t="str">
        <f>F!A260</f>
        <v>F49</v>
      </c>
      <c r="B71" s="2255" t="str">
        <f>F!B260</f>
        <v>Internal Gradient [WS, SR, PR, NR, OE, WBF, WBN]</v>
      </c>
      <c r="C71" s="357" t="str">
        <f>F!C260</f>
        <v>The gradient along most of the flow path within the AA is:</v>
      </c>
      <c r="D71" s="755"/>
      <c r="E71" s="271"/>
      <c r="F71" s="272"/>
      <c r="G71" s="165">
        <f>MAX(F72:F75)/MAX(E72:E75)</f>
        <v>0</v>
      </c>
      <c r="H71" s="2249" t="s">
        <v>964</v>
      </c>
      <c r="I71" s="2297" t="s">
        <v>965</v>
      </c>
    </row>
    <row r="72" spans="1:9" x14ac:dyDescent="0.2">
      <c r="A72" s="2262"/>
      <c r="B72" s="2256"/>
      <c r="C72" s="701" t="str">
        <f>F!C261</f>
        <v>&lt;2% or the AA has no surface water outlet (not even seasonally).</v>
      </c>
      <c r="D72" s="685">
        <f>F!D261</f>
        <v>0</v>
      </c>
      <c r="E72" s="273">
        <v>5</v>
      </c>
      <c r="F72" s="274">
        <f>D72*E72</f>
        <v>0</v>
      </c>
      <c r="G72" s="191"/>
      <c r="H72" s="2250"/>
      <c r="I72" s="2298"/>
    </row>
    <row r="73" spans="1:9" x14ac:dyDescent="0.2">
      <c r="A73" s="2262"/>
      <c r="B73" s="2256"/>
      <c r="C73" s="700" t="str">
        <f>F!C262</f>
        <v>2-5%.</v>
      </c>
      <c r="D73" s="651">
        <f>F!D262</f>
        <v>0</v>
      </c>
      <c r="E73" s="273">
        <v>3</v>
      </c>
      <c r="F73" s="274">
        <f>D73*E73</f>
        <v>0</v>
      </c>
      <c r="G73" s="192"/>
      <c r="H73" s="2250"/>
      <c r="I73" s="2298"/>
    </row>
    <row r="74" spans="1:9" x14ac:dyDescent="0.2">
      <c r="A74" s="2262"/>
      <c r="B74" s="2256"/>
      <c r="C74" s="700" t="str">
        <f>F!C263</f>
        <v>6-10%.</v>
      </c>
      <c r="D74" s="651">
        <f>F!D263</f>
        <v>0</v>
      </c>
      <c r="E74" s="273">
        <v>2</v>
      </c>
      <c r="F74" s="274">
        <f>D74*E74</f>
        <v>0</v>
      </c>
      <c r="G74" s="192"/>
      <c r="H74" s="2250"/>
      <c r="I74" s="2298"/>
    </row>
    <row r="75" spans="1:9" ht="17.25" thickBot="1" x14ac:dyDescent="0.25">
      <c r="A75" s="2263"/>
      <c r="B75" s="2257"/>
      <c r="C75" s="697" t="str">
        <f>F!C264</f>
        <v>&gt;10%.</v>
      </c>
      <c r="D75" s="683">
        <f>F!D264</f>
        <v>0</v>
      </c>
      <c r="E75" s="275">
        <v>0</v>
      </c>
      <c r="F75" s="276">
        <f>D75*E75</f>
        <v>0</v>
      </c>
      <c r="G75" s="193"/>
      <c r="H75" s="2251"/>
      <c r="I75" s="2299"/>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55"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v>
      </c>
      <c r="H77" s="2271" t="s">
        <v>9167</v>
      </c>
      <c r="I77" s="289" t="s">
        <v>967</v>
      </c>
    </row>
    <row r="78" spans="1:9" s="624" customFormat="1" x14ac:dyDescent="0.2">
      <c r="A78" s="1579"/>
      <c r="B78" s="2256"/>
      <c r="C78" s="302" t="str">
        <f>OF!C47</f>
        <v xml:space="preserve">&lt;5% of the land. </v>
      </c>
      <c r="D78" s="399">
        <f>OF!D47</f>
        <v>0</v>
      </c>
      <c r="E78" s="421">
        <v>5</v>
      </c>
      <c r="F78" s="274">
        <f>D78*E78</f>
        <v>0</v>
      </c>
      <c r="G78" s="760"/>
      <c r="H78" s="2272"/>
      <c r="I78" s="638"/>
    </row>
    <row r="79" spans="1:9" s="624" customFormat="1" x14ac:dyDescent="0.2">
      <c r="A79" s="1579"/>
      <c r="B79" s="2256"/>
      <c r="C79" s="303" t="str">
        <f>OF!C48</f>
        <v>5 to 20% of the land.</v>
      </c>
      <c r="D79" s="399">
        <f>OF!D48</f>
        <v>0</v>
      </c>
      <c r="E79" s="421">
        <v>4</v>
      </c>
      <c r="F79" s="274">
        <f>D79*E79</f>
        <v>0</v>
      </c>
      <c r="G79" s="760"/>
      <c r="H79" s="2272"/>
      <c r="I79" s="638"/>
    </row>
    <row r="80" spans="1:9" s="624" customFormat="1" x14ac:dyDescent="0.2">
      <c r="A80" s="1579"/>
      <c r="B80" s="2256"/>
      <c r="C80" s="303" t="str">
        <f>OF!C49</f>
        <v>20 to 60% of the land.</v>
      </c>
      <c r="D80" s="399">
        <f>OF!D49</f>
        <v>0</v>
      </c>
      <c r="E80" s="421">
        <v>3</v>
      </c>
      <c r="F80" s="274">
        <f>D80*E80</f>
        <v>0</v>
      </c>
      <c r="G80" s="760"/>
      <c r="H80" s="2272"/>
      <c r="I80" s="638"/>
    </row>
    <row r="81" spans="1:10" s="624" customFormat="1" x14ac:dyDescent="0.2">
      <c r="A81" s="1579"/>
      <c r="B81" s="2256"/>
      <c r="C81" s="303" t="str">
        <f>OF!C50</f>
        <v>60 to 90% of the land.</v>
      </c>
      <c r="D81" s="399">
        <f>OF!D50</f>
        <v>0</v>
      </c>
      <c r="E81" s="421">
        <v>2</v>
      </c>
      <c r="F81" s="274">
        <f>D81*E81</f>
        <v>0</v>
      </c>
      <c r="G81" s="760"/>
      <c r="H81" s="2272"/>
      <c r="I81" s="638"/>
    </row>
    <row r="82" spans="1:10" s="624" customFormat="1" ht="17.25" thickBot="1" x14ac:dyDescent="0.25">
      <c r="A82" s="1580"/>
      <c r="B82" s="2257"/>
      <c r="C82" s="571" t="str">
        <f>OF!C51</f>
        <v xml:space="preserve">&gt;90% of the land. </v>
      </c>
      <c r="D82" s="400">
        <f>OF!D51</f>
        <v>0</v>
      </c>
      <c r="E82" s="639">
        <v>0</v>
      </c>
      <c r="F82" s="276">
        <f>D82*E82</f>
        <v>0</v>
      </c>
      <c r="G82" s="761"/>
      <c r="H82" s="2273"/>
      <c r="I82" s="638"/>
    </row>
    <row r="83" spans="1:10" ht="17.25" thickBot="1" x14ac:dyDescent="0.25">
      <c r="A83" s="2276" t="str">
        <f>OF!A103</f>
        <v>OF17</v>
      </c>
      <c r="B83" s="2256" t="str">
        <f>OF!B103</f>
        <v>Flood Damage from Non-tidal Waters [WSb]</v>
      </c>
      <c r="C83" s="649" t="str">
        <f>OF!C103</f>
        <v>Within 5 km downstream or downslope of the AA (select first true choice):</v>
      </c>
      <c r="D83" s="758"/>
      <c r="E83" s="310"/>
      <c r="F83" s="311"/>
      <c r="G83" s="762">
        <f>(MAX(F84:F87)/MAX(E84:E87))</f>
        <v>0</v>
      </c>
      <c r="H83" s="2266" t="s">
        <v>968</v>
      </c>
      <c r="I83" s="2252" t="s">
        <v>969</v>
      </c>
    </row>
    <row r="84" spans="1:10" ht="25.5" x14ac:dyDescent="0.2">
      <c r="A84" s="2276"/>
      <c r="B84" s="2256"/>
      <c r="C84" s="302" t="str">
        <f>OF!C104</f>
        <v>Maps show Flood Zone or Flood Risk areas and there appears to be infrastructure vulnerable to river flooding not caused by tidal storm surges.</v>
      </c>
      <c r="D84" s="399">
        <f>OF!D104</f>
        <v>0</v>
      </c>
      <c r="E84" s="312">
        <v>4</v>
      </c>
      <c r="F84" s="274">
        <f>D84*E84</f>
        <v>0</v>
      </c>
      <c r="G84" s="763"/>
      <c r="H84" s="2266"/>
      <c r="I84" s="2253"/>
    </row>
    <row r="85" spans="1:10" ht="38.25" x14ac:dyDescent="0.2">
      <c r="A85" s="2276"/>
      <c r="B85" s="2256"/>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266"/>
      <c r="I85" s="2253"/>
    </row>
    <row r="86" spans="1:10" ht="38.25" x14ac:dyDescent="0.2">
      <c r="A86" s="2276"/>
      <c r="B86" s="2256"/>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266"/>
      <c r="I86" s="2253"/>
    </row>
    <row r="87" spans="1:10" ht="39" thickBot="1" x14ac:dyDescent="0.25">
      <c r="A87" s="2276"/>
      <c r="B87" s="2256"/>
      <c r="C87" s="743" t="str">
        <f>OF!C107</f>
        <v>Maps do not show Flood Zone or Flood Risk areas (or no such mapping has been done locally) and there is no infrastructure at a lower elevation that is vulnerable to river flooding unrelated to tidal storm surges.</v>
      </c>
      <c r="D87" s="411">
        <f>OF!D107</f>
        <v>0</v>
      </c>
      <c r="E87" s="313">
        <v>0</v>
      </c>
      <c r="F87" s="274">
        <f>D87*E87</f>
        <v>0</v>
      </c>
      <c r="G87" s="764"/>
      <c r="H87" s="2267"/>
      <c r="I87" s="2254"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v>
      </c>
      <c r="E88" s="422"/>
      <c r="F88" s="423"/>
      <c r="G88" s="424">
        <f>D88</f>
        <v>0</v>
      </c>
      <c r="H88" s="416" t="s">
        <v>971</v>
      </c>
      <c r="I88" s="279" t="s">
        <v>972</v>
      </c>
    </row>
    <row r="89" spans="1:10" ht="51.75" customHeight="1" thickBot="1" x14ac:dyDescent="0.25">
      <c r="A89" s="2258" t="str">
        <f>OF!A127</f>
        <v>OF23</v>
      </c>
      <c r="B89" s="2255"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49" t="s">
        <v>973</v>
      </c>
      <c r="I89" s="2297" t="s">
        <v>974</v>
      </c>
    </row>
    <row r="90" spans="1:10" ht="24.75" customHeight="1" x14ac:dyDescent="0.2">
      <c r="A90" s="2259"/>
      <c r="B90" s="2256"/>
      <c r="C90" s="700" t="str">
        <f>OF!C128</f>
        <v>&lt;10%.</v>
      </c>
      <c r="D90" s="651">
        <f>OF!D128</f>
        <v>0</v>
      </c>
      <c r="E90" s="312">
        <v>0</v>
      </c>
      <c r="F90" s="274">
        <f>D90*E90</f>
        <v>0</v>
      </c>
      <c r="G90" s="191"/>
      <c r="H90" s="2250"/>
      <c r="I90" s="2298"/>
    </row>
    <row r="91" spans="1:10" ht="23.25" customHeight="1" x14ac:dyDescent="0.2">
      <c r="A91" s="2259"/>
      <c r="B91" s="2256"/>
      <c r="C91" s="700" t="str">
        <f>OF!C129</f>
        <v>10 to 25%.</v>
      </c>
      <c r="D91" s="651">
        <f>OF!D129</f>
        <v>0</v>
      </c>
      <c r="E91" s="312">
        <v>3</v>
      </c>
      <c r="F91" s="274">
        <f>D91*E91</f>
        <v>0</v>
      </c>
      <c r="G91" s="192"/>
      <c r="H91" s="2250"/>
      <c r="I91" s="2298"/>
    </row>
    <row r="92" spans="1:10" ht="32.25" customHeight="1" thickBot="1" x14ac:dyDescent="0.25">
      <c r="A92" s="2260"/>
      <c r="B92" s="2257"/>
      <c r="C92" s="696" t="str">
        <f>OF!C130</f>
        <v>&gt;25%.</v>
      </c>
      <c r="D92" s="680">
        <f>OF!D130</f>
        <v>0</v>
      </c>
      <c r="E92" s="315">
        <v>4</v>
      </c>
      <c r="F92" s="276">
        <f>D92*E92</f>
        <v>0</v>
      </c>
      <c r="G92" s="193"/>
      <c r="H92" s="2251"/>
      <c r="I92" s="2299"/>
    </row>
    <row r="93" spans="1:10" ht="141" thickBot="1" x14ac:dyDescent="0.25">
      <c r="A93" s="2258" t="str">
        <f>OF!A131</f>
        <v>OF24</v>
      </c>
      <c r="B93" s="2255"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v>
      </c>
      <c r="H93" s="2249" t="s">
        <v>8847</v>
      </c>
      <c r="I93" s="2297" t="s">
        <v>975</v>
      </c>
      <c r="J93" s="256"/>
    </row>
    <row r="94" spans="1:10" x14ac:dyDescent="0.2">
      <c r="A94" s="2259"/>
      <c r="B94" s="2256"/>
      <c r="C94" s="695" t="str">
        <f>OF!C132</f>
        <v>Mostly true.</v>
      </c>
      <c r="D94" s="398">
        <f>OF!D132</f>
        <v>0</v>
      </c>
      <c r="E94" s="312">
        <v>2</v>
      </c>
      <c r="F94" s="274">
        <f>D94*E94</f>
        <v>0</v>
      </c>
      <c r="G94" s="191"/>
      <c r="H94" s="2250"/>
      <c r="I94" s="2298"/>
    </row>
    <row r="95" spans="1:10" x14ac:dyDescent="0.2">
      <c r="A95" s="2259"/>
      <c r="B95" s="2256"/>
      <c r="C95" s="700" t="str">
        <f>OF!C133</f>
        <v>Somewhat true.</v>
      </c>
      <c r="D95" s="399">
        <f>OF!D133</f>
        <v>0</v>
      </c>
      <c r="E95" s="312">
        <v>1</v>
      </c>
      <c r="F95" s="274">
        <f>D95*E95</f>
        <v>0</v>
      </c>
      <c r="G95" s="192"/>
      <c r="H95" s="2250"/>
      <c r="I95" s="2298"/>
    </row>
    <row r="96" spans="1:10" ht="17.25" thickBot="1" x14ac:dyDescent="0.25">
      <c r="A96" s="2259"/>
      <c r="B96" s="2256"/>
      <c r="C96" s="698" t="str">
        <f>OF!C134</f>
        <v>Mostly untrue.</v>
      </c>
      <c r="D96" s="411">
        <f>OF!D134</f>
        <v>0</v>
      </c>
      <c r="E96" s="313">
        <v>0</v>
      </c>
      <c r="F96" s="314">
        <f>D96*E96</f>
        <v>0</v>
      </c>
      <c r="G96" s="211"/>
      <c r="H96" s="2250"/>
      <c r="I96" s="2300"/>
    </row>
    <row r="97" spans="1:10" ht="38.25" customHeight="1" thickBot="1" x14ac:dyDescent="0.25">
      <c r="A97" s="2306" t="str">
        <f>F!A272</f>
        <v>F51</v>
      </c>
      <c r="B97" s="2303"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0</v>
      </c>
      <c r="H97" s="2252" t="s">
        <v>8600</v>
      </c>
      <c r="I97" s="279" t="s">
        <v>8536</v>
      </c>
    </row>
    <row r="98" spans="1:10" ht="24" customHeight="1" x14ac:dyDescent="0.2">
      <c r="A98" s="2307"/>
      <c r="B98" s="2304"/>
      <c r="C98" s="1827" t="str">
        <f>F!C273</f>
        <v>Impervious surface, e.g., paved road, parking lot, building, exposed rock.</v>
      </c>
      <c r="D98" s="1837">
        <f>F!D273</f>
        <v>0</v>
      </c>
      <c r="E98" s="312">
        <v>2</v>
      </c>
      <c r="F98" s="274">
        <f>D98*E98</f>
        <v>0</v>
      </c>
      <c r="G98" s="166"/>
      <c r="H98" s="2253"/>
      <c r="I98" s="278"/>
    </row>
    <row r="99" spans="1:10" ht="39.75" customHeight="1" thickBot="1" x14ac:dyDescent="0.25">
      <c r="A99" s="2308"/>
      <c r="B99" s="2305"/>
      <c r="C99" s="1828" t="str">
        <f>F!C274</f>
        <v>Bare or nearly bare pervious surface (e.g., unpaved road, dike, landslide) or managed or heavily grazed vegetation (e.g., lawn, row crops), .</v>
      </c>
      <c r="D99" s="1838">
        <f>F!D274</f>
        <v>0</v>
      </c>
      <c r="E99" s="315">
        <v>1</v>
      </c>
      <c r="F99" s="276">
        <f>D99*E99</f>
        <v>0</v>
      </c>
      <c r="G99" s="167"/>
      <c r="H99" s="2254"/>
      <c r="I99" s="280"/>
    </row>
    <row r="100" spans="1:10" ht="21" customHeight="1" thickBot="1" x14ac:dyDescent="0.25">
      <c r="A100" s="2"/>
      <c r="B100" s="2"/>
      <c r="E100" s="2"/>
      <c r="F100" s="2"/>
      <c r="G100" s="2"/>
    </row>
    <row r="101" spans="1:10" ht="38.25" x14ac:dyDescent="0.2">
      <c r="A101" s="2"/>
      <c r="B101" s="2"/>
      <c r="D101" s="2293" t="s">
        <v>976</v>
      </c>
      <c r="E101" s="2294"/>
      <c r="F101" s="2294"/>
      <c r="G101" s="655">
        <f>AVERAGE(SoilTex1,Groundw1, CApct1)</f>
        <v>0</v>
      </c>
      <c r="H101" s="656" t="s">
        <v>977</v>
      </c>
      <c r="I101" s="322" t="s">
        <v>978</v>
      </c>
      <c r="J101" s="499" t="s">
        <v>979</v>
      </c>
    </row>
    <row r="102" spans="1:10" ht="51" x14ac:dyDescent="0.2">
      <c r="A102" s="2"/>
      <c r="B102" s="2"/>
      <c r="D102" s="2301" t="s">
        <v>980</v>
      </c>
      <c r="E102" s="2302"/>
      <c r="F102" s="2302"/>
      <c r="G102" s="657">
        <f>IF((AllSat1=1),"",AVERAGE(Fluc1,SeasPct1))</f>
        <v>0</v>
      </c>
      <c r="H102" s="658" t="s">
        <v>981</v>
      </c>
      <c r="I102" s="323" t="s">
        <v>982</v>
      </c>
      <c r="J102" s="496" t="s">
        <v>983</v>
      </c>
    </row>
    <row r="103" spans="1:10" ht="77.25" thickBot="1" x14ac:dyDescent="0.25">
      <c r="A103" s="2"/>
      <c r="B103" s="2"/>
      <c r="D103" s="2295" t="s">
        <v>984</v>
      </c>
      <c r="E103" s="2296"/>
      <c r="F103" s="2296"/>
      <c r="G103" s="659">
        <f>IF((AllSat1=1),(3*Gradient1+Girreg1)/4, AVERAGE(Gradient1,Constric1,ThruFlo1,FloDist1,PondedPct1))</f>
        <v>0</v>
      </c>
      <c r="H103" s="660" t="s">
        <v>985</v>
      </c>
      <c r="I103" s="324" t="s">
        <v>984</v>
      </c>
      <c r="J103" s="497" t="s">
        <v>986</v>
      </c>
    </row>
    <row r="104" spans="1:10" s="285" customFormat="1" ht="64.5" thickBot="1" x14ac:dyDescent="0.25">
      <c r="A104" s="2"/>
      <c r="B104" s="305"/>
      <c r="C104" s="2290" t="s">
        <v>987</v>
      </c>
      <c r="D104" s="2291"/>
      <c r="E104" s="2292"/>
      <c r="F104" s="336" t="s">
        <v>988</v>
      </c>
      <c r="G104" s="1421">
        <f>10*(IF((AllSat1=1), AVERAGE(Friction,Subsurf), (3*AVERAGE(OutDura1,LiveStore) + AVERAGE(Friction, Subsurf))/4))</f>
        <v>0</v>
      </c>
      <c r="H104" s="2288" t="s">
        <v>8598</v>
      </c>
      <c r="I104" s="2289"/>
      <c r="J104" s="499" t="s">
        <v>989</v>
      </c>
    </row>
    <row r="105" spans="1:10" s="285" customFormat="1" ht="77.25" thickBot="1" x14ac:dyDescent="0.25">
      <c r="A105" s="2"/>
      <c r="B105" s="305"/>
      <c r="C105" s="2290" t="s">
        <v>990</v>
      </c>
      <c r="D105" s="2291"/>
      <c r="E105" s="2292"/>
      <c r="F105" s="336" t="s">
        <v>991</v>
      </c>
      <c r="G105" s="1510">
        <f>10*(IF((FloodBdg1=1), 1,AVERAGE(FloodBdg1,ShedPos1,CAunveg1,Transport1, Imperv1v)))</f>
        <v>0</v>
      </c>
      <c r="H105" s="2286" t="s">
        <v>8599</v>
      </c>
      <c r="I105" s="2287"/>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I83:I87"/>
    <mergeCell ref="I27:I32"/>
    <mergeCell ref="I33:I38"/>
    <mergeCell ref="I39:I44"/>
    <mergeCell ref="I45:I50"/>
    <mergeCell ref="I51:I56"/>
    <mergeCell ref="I57:I60"/>
    <mergeCell ref="I61:I66"/>
    <mergeCell ref="I67:I70"/>
    <mergeCell ref="I71:I75"/>
    <mergeCell ref="E1:I1"/>
    <mergeCell ref="I3:I7"/>
    <mergeCell ref="I8:I14"/>
    <mergeCell ref="I23:I26"/>
    <mergeCell ref="H23:H26"/>
    <mergeCell ref="H3:H7"/>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I15:I22"/>
    <mergeCell ref="B8:B14"/>
    <mergeCell ref="A89:A92"/>
    <mergeCell ref="B89:B92"/>
    <mergeCell ref="B39:B44"/>
    <mergeCell ref="B33:B38"/>
    <mergeCell ref="B23:B26"/>
    <mergeCell ref="A45:A50"/>
    <mergeCell ref="B27:B32"/>
    <mergeCell ref="B45:B50"/>
    <mergeCell ref="B57:B60"/>
    <mergeCell ref="B77:B82"/>
    <mergeCell ref="B83:B87"/>
    <mergeCell ref="A15:A21"/>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28" t="s">
        <v>1014</v>
      </c>
      <c r="B1" s="2328"/>
      <c r="C1" s="40" t="s">
        <v>1015</v>
      </c>
      <c r="D1" s="143" t="s">
        <v>1016</v>
      </c>
      <c r="E1" s="2326"/>
      <c r="F1" s="2327"/>
      <c r="G1" s="2327"/>
      <c r="H1" s="2327"/>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65" t="str">
        <f>F!A5</f>
        <v>F1</v>
      </c>
      <c r="B3" s="2255" t="str">
        <f>F!B5</f>
        <v>Vegetation, Water, Soil [SFTS, NR, CSP, CC, APP, FA, FR, AM, WBF, WBN, KMH, Sens]</v>
      </c>
      <c r="C3" s="751" t="str">
        <f>F!C5</f>
        <v>Follow the key below and mark the ONE row that best describes MOST of the vegetated part of the AA:</v>
      </c>
      <c r="D3" s="666"/>
      <c r="E3" s="133"/>
      <c r="F3" s="134"/>
      <c r="G3" s="165">
        <f>MAX(F4:F9)/MAX(E5:E9)</f>
        <v>0</v>
      </c>
      <c r="H3" s="2332" t="s">
        <v>8917</v>
      </c>
      <c r="I3" s="2271" t="s">
        <v>1019</v>
      </c>
      <c r="J3" s="2"/>
    </row>
    <row r="4" spans="1:11" ht="63.75" x14ac:dyDescent="0.2">
      <c r="A4" s="2262"/>
      <c r="B4" s="2256"/>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32"/>
      <c r="I4" s="2266"/>
      <c r="J4" s="2"/>
    </row>
    <row r="5" spans="1:11" ht="76.5" x14ac:dyDescent="0.2">
      <c r="A5" s="2262"/>
      <c r="B5" s="2256"/>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32"/>
      <c r="I5" s="2266"/>
      <c r="J5" s="2"/>
    </row>
    <row r="6" spans="1:11" ht="51" x14ac:dyDescent="0.2">
      <c r="A6" s="2262"/>
      <c r="B6" s="2256"/>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32"/>
      <c r="I6" s="2266"/>
      <c r="J6" s="2"/>
    </row>
    <row r="7" spans="1:11" ht="38.25" x14ac:dyDescent="0.2">
      <c r="A7" s="2262"/>
      <c r="B7" s="2256"/>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32"/>
      <c r="I7" s="2266"/>
      <c r="J7" s="2"/>
    </row>
    <row r="8" spans="1:11" ht="38.25" x14ac:dyDescent="0.2">
      <c r="A8" s="2262"/>
      <c r="B8" s="2256"/>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32"/>
      <c r="I8" s="2266"/>
      <c r="J8" s="2"/>
    </row>
    <row r="9" spans="1:11" ht="51.75" thickBot="1" x14ac:dyDescent="0.25">
      <c r="A9" s="2262"/>
      <c r="B9" s="2256"/>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32"/>
      <c r="I9" s="2266"/>
      <c r="J9" s="2"/>
    </row>
    <row r="10" spans="1:11" ht="39" customHeight="1" thickBot="1" x14ac:dyDescent="0.25">
      <c r="A10" s="1150" t="str">
        <f>F!A19</f>
        <v>F3</v>
      </c>
      <c r="B10" s="2255"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0</v>
      </c>
      <c r="H10" s="2252" t="s">
        <v>8848</v>
      </c>
      <c r="I10" s="416" t="s">
        <v>1020</v>
      </c>
      <c r="J10" s="2"/>
    </row>
    <row r="11" spans="1:11" ht="12.75" x14ac:dyDescent="0.2">
      <c r="A11" s="1151"/>
      <c r="B11" s="2256"/>
      <c r="C11" s="303" t="str">
        <f>F!C20</f>
        <v>evergreen trees (may include tamarack) taller than 6 m.</v>
      </c>
      <c r="D11" s="399">
        <f>F!D20</f>
        <v>0</v>
      </c>
      <c r="E11" s="93">
        <v>7</v>
      </c>
      <c r="F11" s="93">
        <f t="shared" ref="F11:F17" si="0">D11*E11</f>
        <v>0</v>
      </c>
      <c r="G11" s="578"/>
      <c r="H11" s="2253"/>
      <c r="I11" s="289"/>
      <c r="J11" s="2"/>
    </row>
    <row r="12" spans="1:11" ht="12.75" x14ac:dyDescent="0.2">
      <c r="A12" s="1151"/>
      <c r="B12" s="2256"/>
      <c r="C12" s="303" t="str">
        <f>F!C21</f>
        <v>deciduous trees taller than 6 m.</v>
      </c>
      <c r="D12" s="399">
        <f>F!D21</f>
        <v>0</v>
      </c>
      <c r="E12" s="93">
        <v>6</v>
      </c>
      <c r="F12" s="93">
        <f t="shared" si="0"/>
        <v>0</v>
      </c>
      <c r="G12" s="578"/>
      <c r="H12" s="2253"/>
      <c r="I12" s="289"/>
      <c r="J12" s="2"/>
    </row>
    <row r="13" spans="1:11" ht="12.75" x14ac:dyDescent="0.2">
      <c r="A13" s="1151"/>
      <c r="B13" s="2256"/>
      <c r="C13" s="303" t="str">
        <f>F!C22</f>
        <v>evergreen shrubs or trees 2 to 6 m tall not directly below the canopy of trees.</v>
      </c>
      <c r="D13" s="399">
        <f>F!D22</f>
        <v>0</v>
      </c>
      <c r="E13" s="93">
        <v>5</v>
      </c>
      <c r="F13" s="93">
        <f t="shared" si="0"/>
        <v>0</v>
      </c>
      <c r="G13" s="578"/>
      <c r="H13" s="2253"/>
      <c r="I13" s="289"/>
      <c r="J13" s="2"/>
    </row>
    <row r="14" spans="1:11" ht="12.75" x14ac:dyDescent="0.2">
      <c r="A14" s="1151"/>
      <c r="B14" s="2256"/>
      <c r="C14" s="303" t="str">
        <f>F!C23</f>
        <v>deciduous shrubs or trees 2 to 6 m tall not directly below the canopy of trees.</v>
      </c>
      <c r="D14" s="399">
        <f>F!D23</f>
        <v>0</v>
      </c>
      <c r="E14" s="93">
        <v>4</v>
      </c>
      <c r="F14" s="93">
        <f t="shared" si="0"/>
        <v>0</v>
      </c>
      <c r="G14" s="578"/>
      <c r="H14" s="2253"/>
      <c r="I14" s="289"/>
      <c r="J14" s="2"/>
    </row>
    <row r="15" spans="1:11" ht="12.75" x14ac:dyDescent="0.2">
      <c r="A15" s="1151"/>
      <c r="B15" s="2256"/>
      <c r="C15" s="303" t="str">
        <f>F!C24</f>
        <v>evergreen vegetation 0.5 to 2 m tall not directly below the canopy of taller vegetation.</v>
      </c>
      <c r="D15" s="399">
        <f>F!D24</f>
        <v>0</v>
      </c>
      <c r="E15" s="93">
        <v>3</v>
      </c>
      <c r="F15" s="93">
        <f t="shared" si="0"/>
        <v>0</v>
      </c>
      <c r="G15" s="578"/>
      <c r="H15" s="2253"/>
      <c r="I15" s="289"/>
      <c r="J15" s="2"/>
    </row>
    <row r="16" spans="1:11" ht="25.5" x14ac:dyDescent="0.2">
      <c r="A16" s="1151"/>
      <c r="B16" s="2256"/>
      <c r="C16" s="303" t="str">
        <f>F!C25</f>
        <v>deciduous vegetation 0.5 to 2 m tall (e.g., deciduous seedlings) not directly below the canopy of taller vegetation.</v>
      </c>
      <c r="D16" s="399">
        <f>F!D25</f>
        <v>0</v>
      </c>
      <c r="E16" s="93">
        <v>2</v>
      </c>
      <c r="F16" s="93">
        <f t="shared" si="0"/>
        <v>0</v>
      </c>
      <c r="G16" s="578"/>
      <c r="H16" s="2253"/>
      <c r="I16" s="289"/>
      <c r="J16" s="2"/>
    </row>
    <row r="17" spans="1:10" ht="13.5" thickBot="1" x14ac:dyDescent="0.25">
      <c r="A17" s="1152"/>
      <c r="B17" s="2257"/>
      <c r="C17" s="571" t="str">
        <f>F!C26</f>
        <v>Non-woody vegetation (except mosses) not under a tree or shrub canopy.</v>
      </c>
      <c r="D17" s="400">
        <f>F!D26</f>
        <v>0</v>
      </c>
      <c r="E17" s="131">
        <v>0</v>
      </c>
      <c r="F17" s="131">
        <f t="shared" si="0"/>
        <v>0</v>
      </c>
      <c r="G17" s="327"/>
      <c r="H17" s="2254"/>
      <c r="I17" s="290"/>
      <c r="J17" s="2"/>
    </row>
    <row r="18" spans="1:10" ht="26.25" thickBot="1" x14ac:dyDescent="0.25">
      <c r="A18" s="2265" t="str">
        <f>F!A91</f>
        <v>F14</v>
      </c>
      <c r="B18" s="2255"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v>
      </c>
      <c r="H18" s="2253" t="s">
        <v>1023</v>
      </c>
      <c r="I18" s="2271" t="s">
        <v>1024</v>
      </c>
      <c r="J18" s="2"/>
    </row>
    <row r="19" spans="1:10" ht="12.75" x14ac:dyDescent="0.2">
      <c r="A19" s="2262"/>
      <c r="B19" s="2256"/>
      <c r="C19" s="700" t="str">
        <f>F!C92</f>
        <v xml:space="preserve">&lt;5% of the vegetated part of the AA. </v>
      </c>
      <c r="D19" s="399">
        <f>F!D92</f>
        <v>0</v>
      </c>
      <c r="E19" s="95">
        <v>0</v>
      </c>
      <c r="F19" s="93">
        <f>D19*E19</f>
        <v>0</v>
      </c>
      <c r="G19" s="264"/>
      <c r="H19" s="2253"/>
      <c r="I19" s="2266"/>
      <c r="J19" s="2"/>
    </row>
    <row r="20" spans="1:10" ht="12.75" x14ac:dyDescent="0.2">
      <c r="A20" s="2262"/>
      <c r="B20" s="2256"/>
      <c r="C20" s="700" t="str">
        <f>F!C93</f>
        <v>5-25% of the vegetated part of the AA.</v>
      </c>
      <c r="D20" s="399">
        <f>F!D93</f>
        <v>0</v>
      </c>
      <c r="E20" s="95">
        <v>1</v>
      </c>
      <c r="F20" s="93">
        <f>D20*E20</f>
        <v>0</v>
      </c>
      <c r="G20" s="264"/>
      <c r="H20" s="2253"/>
      <c r="I20" s="2266"/>
      <c r="J20" s="2"/>
    </row>
    <row r="21" spans="1:10" ht="12.75" x14ac:dyDescent="0.2">
      <c r="A21" s="2262"/>
      <c r="B21" s="2256"/>
      <c r="C21" s="700" t="str">
        <f>F!C94</f>
        <v>25-50% of the vegetated part of the AA.</v>
      </c>
      <c r="D21" s="399">
        <f>F!D94</f>
        <v>0</v>
      </c>
      <c r="E21" s="95">
        <v>2</v>
      </c>
      <c r="F21" s="93">
        <f>D21*E21</f>
        <v>0</v>
      </c>
      <c r="G21" s="264"/>
      <c r="H21" s="2253"/>
      <c r="I21" s="2266"/>
      <c r="J21" s="2"/>
    </row>
    <row r="22" spans="1:10" ht="12.75" x14ac:dyDescent="0.2">
      <c r="A22" s="2262"/>
      <c r="B22" s="2256"/>
      <c r="C22" s="700" t="str">
        <f>F!C95</f>
        <v>50-95% of the vegetated part of the AA.</v>
      </c>
      <c r="D22" s="399">
        <f>F!D95</f>
        <v>0</v>
      </c>
      <c r="E22" s="95">
        <v>4</v>
      </c>
      <c r="F22" s="93">
        <f>D22*E22</f>
        <v>0</v>
      </c>
      <c r="G22" s="264"/>
      <c r="H22" s="2253"/>
      <c r="I22" s="2266"/>
      <c r="J22" s="2"/>
    </row>
    <row r="23" spans="1:10" ht="13.5" thickBot="1" x14ac:dyDescent="0.25">
      <c r="A23" s="2263"/>
      <c r="B23" s="2257"/>
      <c r="C23" s="696" t="str">
        <f>F!C96</f>
        <v>&gt;95% of the vegetated part of the AA.</v>
      </c>
      <c r="D23" s="400">
        <f>F!D96</f>
        <v>0</v>
      </c>
      <c r="E23" s="97">
        <v>5</v>
      </c>
      <c r="F23" s="97">
        <f>D23*E23</f>
        <v>0</v>
      </c>
      <c r="G23" s="262"/>
      <c r="H23" s="2253"/>
      <c r="I23" s="2267"/>
      <c r="J23" s="2"/>
    </row>
    <row r="24" spans="1:10" ht="39" customHeight="1" thickBot="1" x14ac:dyDescent="0.25">
      <c r="A24" s="2262" t="str">
        <f>F!A107</f>
        <v>F17</v>
      </c>
      <c r="B24" s="2256"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52" t="s">
        <v>1025</v>
      </c>
      <c r="I24" s="2266" t="s">
        <v>1026</v>
      </c>
      <c r="J24" s="2"/>
    </row>
    <row r="25" spans="1:10" ht="38.25" x14ac:dyDescent="0.2">
      <c r="A25" s="2262"/>
      <c r="B25" s="2256"/>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53"/>
      <c r="I25" s="2266"/>
      <c r="J25" s="2"/>
    </row>
    <row r="26" spans="1:10" ht="25.5" x14ac:dyDescent="0.2">
      <c r="A26" s="2262"/>
      <c r="B26" s="2256"/>
      <c r="C26" s="303" t="str">
        <f>F!C109</f>
        <v>Slightly bare ground (5-20% bare between plants) is visible in places, and those areas comprise less than 5% of the unflooded parts of the AA.</v>
      </c>
      <c r="D26" s="651">
        <f>F!D109</f>
        <v>0</v>
      </c>
      <c r="E26" s="131">
        <v>3</v>
      </c>
      <c r="F26" s="131">
        <f>D26*E26</f>
        <v>0</v>
      </c>
      <c r="G26" s="327"/>
      <c r="H26" s="2253"/>
      <c r="I26" s="2266"/>
      <c r="J26" s="2"/>
    </row>
    <row r="27" spans="1:10" ht="25.5" x14ac:dyDescent="0.2">
      <c r="A27" s="2262"/>
      <c r="B27" s="2256"/>
      <c r="C27" s="303" t="str">
        <f>F!C110</f>
        <v xml:space="preserve">Slightly bare ground (5-20% bare between plants) comprises more than 5% of the unflooded parts of the AA, </v>
      </c>
      <c r="D27" s="651">
        <f>F!D110</f>
        <v>0</v>
      </c>
      <c r="E27" s="131">
        <v>2</v>
      </c>
      <c r="F27" s="131">
        <f>D27*E27</f>
        <v>0</v>
      </c>
      <c r="G27" s="327"/>
      <c r="H27" s="2253"/>
      <c r="I27" s="2266"/>
      <c r="J27" s="2"/>
    </row>
    <row r="28" spans="1:10" ht="25.5" x14ac:dyDescent="0.2">
      <c r="A28" s="2262"/>
      <c r="B28" s="2256"/>
      <c r="C28" s="303" t="str">
        <f>F!C111</f>
        <v>Very bare ground (20-50% bare between plants) comprises more than 5% of the unflooded parts of the AA. </v>
      </c>
      <c r="D28" s="651">
        <f>F!D111</f>
        <v>0</v>
      </c>
      <c r="E28" s="131">
        <v>0</v>
      </c>
      <c r="F28" s="131">
        <f>D28*E28</f>
        <v>0</v>
      </c>
      <c r="G28" s="327"/>
      <c r="H28" s="2253"/>
      <c r="I28" s="2266"/>
      <c r="J28" s="2"/>
    </row>
    <row r="29" spans="1:10" ht="26.25" thickBot="1" x14ac:dyDescent="0.25">
      <c r="A29" s="2262"/>
      <c r="B29" s="2256"/>
      <c r="C29" s="743" t="str">
        <f>F!C112</f>
        <v>Not applicable. Surface water (either open or obscured by emergent plants) covers all of the AA all the time.</v>
      </c>
      <c r="D29" s="652">
        <f>F!D112</f>
        <v>0</v>
      </c>
      <c r="E29" s="132"/>
      <c r="F29" s="132"/>
      <c r="G29" s="559"/>
      <c r="H29" s="2254"/>
      <c r="I29" s="2267"/>
      <c r="J29" s="2"/>
    </row>
    <row r="30" spans="1:10" ht="28.5" customHeight="1" thickBot="1" x14ac:dyDescent="0.25">
      <c r="A30" s="2265" t="str">
        <f>F!A128</f>
        <v>F21</v>
      </c>
      <c r="B30" s="2255" t="str">
        <f>F!B128</f>
        <v>Soil Texture [WS, SFTS, PR, NR,WFR, CSP, CC, APP, PH, Sens]</v>
      </c>
      <c r="C30" s="699" t="str">
        <f>F!C128</f>
        <v>In parts of the AA that lack persistent water, the texture of soil in the uppermost (&lt;20 cm) layer is mostly:</v>
      </c>
      <c r="D30" s="662"/>
      <c r="E30" s="122"/>
      <c r="F30" s="122"/>
      <c r="G30" s="120">
        <f>MAX(F31:F35)/MAX(E31:E35)</f>
        <v>0</v>
      </c>
      <c r="H30" s="2252" t="s">
        <v>1021</v>
      </c>
      <c r="I30" s="2252" t="s">
        <v>1022</v>
      </c>
      <c r="J30" s="2"/>
    </row>
    <row r="31" spans="1:10" ht="25.5" x14ac:dyDescent="0.2">
      <c r="A31" s="2262"/>
      <c r="B31" s="2256"/>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253"/>
      <c r="I31" s="2253"/>
      <c r="J31" s="2"/>
    </row>
    <row r="32" spans="1:10" ht="25.5" x14ac:dyDescent="0.2">
      <c r="A32" s="2262"/>
      <c r="B32" s="2256"/>
      <c r="C32" s="700" t="str">
        <f>F!C130</f>
        <v>Fines: includes silt, clay, silt, soils that make a ribbon longer than 2 cm when moistened, rolled, squeezed, and extended between thumb and forefinger.</v>
      </c>
      <c r="D32" s="399">
        <f>F!D130</f>
        <v>0</v>
      </c>
      <c r="E32" s="93">
        <v>3</v>
      </c>
      <c r="F32" s="93">
        <f>D32*E32</f>
        <v>0</v>
      </c>
      <c r="G32" s="578"/>
      <c r="H32" s="2253"/>
      <c r="I32" s="2253"/>
      <c r="J32" s="2"/>
    </row>
    <row r="33" spans="1:10" ht="12.75" x14ac:dyDescent="0.2">
      <c r="A33" s="2262"/>
      <c r="B33" s="2256"/>
      <c r="C33" s="700" t="str">
        <f>F!C131</f>
        <v>Deep Peat, to 40 cm (16 inch) depth or greater.</v>
      </c>
      <c r="D33" s="399">
        <f>F!D131</f>
        <v>0</v>
      </c>
      <c r="E33" s="93">
        <v>6</v>
      </c>
      <c r="F33" s="93">
        <f>D33*E33</f>
        <v>0</v>
      </c>
      <c r="G33" s="578"/>
      <c r="H33" s="2253"/>
      <c r="I33" s="2253"/>
      <c r="J33" s="2"/>
    </row>
    <row r="34" spans="1:10" ht="12.75" x14ac:dyDescent="0.2">
      <c r="A34" s="2262"/>
      <c r="B34" s="2256"/>
      <c r="C34" s="700" t="str">
        <f>F!C132</f>
        <v xml:space="preserve">Shallow Peat or organic &lt;40 cm deep. </v>
      </c>
      <c r="D34" s="399">
        <f>F!D132</f>
        <v>0</v>
      </c>
      <c r="E34" s="93">
        <v>5</v>
      </c>
      <c r="F34" s="93">
        <f>D34*E34</f>
        <v>0</v>
      </c>
      <c r="G34" s="578"/>
      <c r="H34" s="2253"/>
      <c r="I34" s="2253"/>
      <c r="J34" s="2"/>
    </row>
    <row r="35" spans="1:10" ht="26.25" thickBot="1" x14ac:dyDescent="0.25">
      <c r="A35" s="2263"/>
      <c r="B35" s="2257"/>
      <c r="C35" s="696" t="str">
        <f>F!C133</f>
        <v>Coarse: includes sand, loamy sand, gravel, cobble, soils that do not make a ribbon when moistened, rolled, squeezed, and extended between thumb and forefinger.</v>
      </c>
      <c r="D35" s="400">
        <f>F!D133</f>
        <v>0</v>
      </c>
      <c r="E35" s="97">
        <v>0</v>
      </c>
      <c r="F35" s="97">
        <f>D35*E35</f>
        <v>0</v>
      </c>
      <c r="G35" s="579"/>
      <c r="H35" s="2254"/>
      <c r="I35" s="2254"/>
      <c r="J35" s="2"/>
    </row>
    <row r="36" spans="1:10" ht="26.25" thickBot="1" x14ac:dyDescent="0.25">
      <c r="A36" s="2265" t="str">
        <f>F!A149</f>
        <v>F24</v>
      </c>
      <c r="B36" s="2255"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v>
      </c>
      <c r="H36" s="2253" t="s">
        <v>1021</v>
      </c>
      <c r="I36" s="2266" t="s">
        <v>1027</v>
      </c>
      <c r="J36" s="2"/>
    </row>
    <row r="37" spans="1:10" ht="25.5" x14ac:dyDescent="0.2">
      <c r="A37" s="2262"/>
      <c r="B37" s="2256"/>
      <c r="C37" s="700" t="str">
        <f>F!C150</f>
        <v xml:space="preserve">&lt;1% . In other words, all or nearly all of the AA is covered by water permanently or at least seasonally.  </v>
      </c>
      <c r="D37" s="399">
        <f>F!D150</f>
        <v>0</v>
      </c>
      <c r="E37" s="90">
        <v>0</v>
      </c>
      <c r="F37" s="93">
        <f t="shared" ref="F37:F42" si="1">D37*E37</f>
        <v>0</v>
      </c>
      <c r="G37" s="599"/>
      <c r="H37" s="2253"/>
      <c r="I37" s="2266"/>
      <c r="J37" s="2"/>
    </row>
    <row r="38" spans="1:10" ht="12.75" x14ac:dyDescent="0.2">
      <c r="A38" s="2262"/>
      <c r="B38" s="2256"/>
      <c r="C38" s="700" t="str">
        <f>F!C151</f>
        <v>1-25% of the AA,  or &lt;1% but &gt;0.01 ha never contains surface water.</v>
      </c>
      <c r="D38" s="399">
        <f>F!D151</f>
        <v>0</v>
      </c>
      <c r="E38" s="90">
        <v>1</v>
      </c>
      <c r="F38" s="93">
        <f t="shared" si="1"/>
        <v>0</v>
      </c>
      <c r="G38" s="599"/>
      <c r="H38" s="2253"/>
      <c r="I38" s="2266"/>
      <c r="J38" s="2"/>
    </row>
    <row r="39" spans="1:10" ht="12.75" x14ac:dyDescent="0.2">
      <c r="A39" s="2262"/>
      <c r="B39" s="2256"/>
      <c r="C39" s="700" t="str">
        <f>F!C152</f>
        <v>25-50% of the AA never contains surface water.</v>
      </c>
      <c r="D39" s="399">
        <f>F!D152</f>
        <v>0</v>
      </c>
      <c r="E39" s="90">
        <v>2</v>
      </c>
      <c r="F39" s="93">
        <f t="shared" si="1"/>
        <v>0</v>
      </c>
      <c r="G39" s="599"/>
      <c r="H39" s="2253"/>
      <c r="I39" s="2266"/>
      <c r="J39" s="2"/>
    </row>
    <row r="40" spans="1:10" ht="12.75" x14ac:dyDescent="0.2">
      <c r="A40" s="2262"/>
      <c r="B40" s="2256"/>
      <c r="C40" s="700" t="str">
        <f>F!C153</f>
        <v>50-75% of the AA never contains surface water.</v>
      </c>
      <c r="D40" s="399">
        <f>F!D153</f>
        <v>0</v>
      </c>
      <c r="E40" s="90">
        <v>3</v>
      </c>
      <c r="F40" s="93">
        <f t="shared" si="1"/>
        <v>0</v>
      </c>
      <c r="G40" s="599"/>
      <c r="H40" s="2253"/>
      <c r="I40" s="2266"/>
      <c r="J40" s="2"/>
    </row>
    <row r="41" spans="1:10" ht="25.5" x14ac:dyDescent="0.2">
      <c r="A41" s="2262"/>
      <c r="B41" s="2256"/>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53"/>
      <c r="I41" s="2266"/>
      <c r="J41" s="2"/>
    </row>
    <row r="42" spans="1:10" ht="26.25" thickBot="1" x14ac:dyDescent="0.25">
      <c r="A42" s="2263"/>
      <c r="B42" s="2257"/>
      <c r="C42" s="696" t="str">
        <f>F!C155</f>
        <v>&gt; 99%. AND during most years there is never more than 0.1 ha of ponded surface water within the AA. Enter "1" and SKIP to F43 (Channel Connection).</v>
      </c>
      <c r="D42" s="400">
        <f>F!D155</f>
        <v>0</v>
      </c>
      <c r="E42" s="97">
        <v>5</v>
      </c>
      <c r="F42" s="97">
        <f t="shared" si="1"/>
        <v>0</v>
      </c>
      <c r="G42" s="670"/>
      <c r="H42" s="2254"/>
      <c r="I42" s="2266"/>
      <c r="J42" s="2"/>
    </row>
    <row r="43" spans="1:10" ht="37.5" customHeight="1" thickBot="1" x14ac:dyDescent="0.25">
      <c r="A43" s="1153" t="str">
        <f>F!A158</f>
        <v>F25</v>
      </c>
      <c r="B43" s="2255"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53" t="s">
        <v>8918</v>
      </c>
      <c r="I43" s="416" t="s">
        <v>1028</v>
      </c>
      <c r="J43" s="2"/>
    </row>
    <row r="44" spans="1:10" ht="12.75" x14ac:dyDescent="0.2">
      <c r="A44" s="1151"/>
      <c r="B44" s="2256"/>
      <c r="C44" s="700" t="str">
        <f>F!C159</f>
        <v>&lt;5% of the water is shaded, or no surface water is present then.</v>
      </c>
      <c r="D44" s="399">
        <f>F!D159</f>
        <v>0</v>
      </c>
      <c r="E44" s="93">
        <v>0</v>
      </c>
      <c r="F44" s="95">
        <f>D44*E44</f>
        <v>0</v>
      </c>
      <c r="G44" s="327"/>
      <c r="H44" s="2253"/>
      <c r="I44" s="289"/>
      <c r="J44" s="2"/>
    </row>
    <row r="45" spans="1:10" ht="12.75" x14ac:dyDescent="0.2">
      <c r="A45" s="1151"/>
      <c r="B45" s="2256"/>
      <c r="C45" s="700" t="str">
        <f>F!C160</f>
        <v>5-25% of the water is shaded.</v>
      </c>
      <c r="D45" s="399">
        <f>F!D160</f>
        <v>0</v>
      </c>
      <c r="E45" s="93">
        <v>1</v>
      </c>
      <c r="F45" s="95">
        <f>D45*E45</f>
        <v>0</v>
      </c>
      <c r="G45" s="327"/>
      <c r="H45" s="2253"/>
      <c r="I45" s="289"/>
      <c r="J45" s="2"/>
    </row>
    <row r="46" spans="1:10" ht="12.75" x14ac:dyDescent="0.2">
      <c r="A46" s="1151"/>
      <c r="B46" s="2256"/>
      <c r="C46" s="700" t="str">
        <f>F!C161</f>
        <v>25-50% of the water is shaded.</v>
      </c>
      <c r="D46" s="399">
        <f>F!D161</f>
        <v>0</v>
      </c>
      <c r="E46" s="93">
        <v>2</v>
      </c>
      <c r="F46" s="95">
        <f>D46*E46</f>
        <v>0</v>
      </c>
      <c r="G46" s="327"/>
      <c r="H46" s="2253"/>
      <c r="I46" s="289"/>
      <c r="J46" s="2"/>
    </row>
    <row r="47" spans="1:10" ht="12.75" x14ac:dyDescent="0.2">
      <c r="A47" s="1151"/>
      <c r="B47" s="2256"/>
      <c r="C47" s="700" t="str">
        <f>F!C162</f>
        <v>50-75% of the water is shaded.</v>
      </c>
      <c r="D47" s="399">
        <f>F!D162</f>
        <v>0</v>
      </c>
      <c r="E47" s="93">
        <v>4</v>
      </c>
      <c r="F47" s="95">
        <f>D47*E47</f>
        <v>0</v>
      </c>
      <c r="G47" s="327"/>
      <c r="H47" s="2253"/>
      <c r="I47" s="289"/>
      <c r="J47" s="2"/>
    </row>
    <row r="48" spans="1:10" ht="13.5" thickBot="1" x14ac:dyDescent="0.25">
      <c r="A48" s="1151"/>
      <c r="B48" s="2256"/>
      <c r="C48" s="698" t="str">
        <f>F!C163</f>
        <v>&gt;75% of the water is shaded.</v>
      </c>
      <c r="D48" s="411">
        <f>F!D163</f>
        <v>0</v>
      </c>
      <c r="E48" s="95">
        <v>5</v>
      </c>
      <c r="F48" s="95">
        <f>D48*E48</f>
        <v>0</v>
      </c>
      <c r="G48" s="559"/>
      <c r="H48" s="2253"/>
      <c r="I48" s="289"/>
      <c r="J48" s="2"/>
    </row>
    <row r="49" spans="1:10" ht="26.25" customHeight="1" thickBot="1" x14ac:dyDescent="0.25">
      <c r="A49" s="2265" t="str">
        <f>F!A175</f>
        <v>F29</v>
      </c>
      <c r="B49" s="2255"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v>
      </c>
      <c r="H49" s="2334" t="s">
        <v>1029</v>
      </c>
      <c r="I49" s="2271" t="s">
        <v>1030</v>
      </c>
      <c r="J49" s="2"/>
    </row>
    <row r="50" spans="1:10" ht="12.75" x14ac:dyDescent="0.2">
      <c r="A50" s="2262"/>
      <c r="B50" s="2256"/>
      <c r="C50" s="1651" t="str">
        <f>F!C176</f>
        <v>&lt;10 cm deep (but &gt;0).</v>
      </c>
      <c r="D50" s="402">
        <f>F!D177</f>
        <v>0</v>
      </c>
      <c r="E50" s="126">
        <v>0</v>
      </c>
      <c r="F50" s="131">
        <f>D50*E50</f>
        <v>0</v>
      </c>
      <c r="G50" s="326"/>
      <c r="H50" s="2332"/>
      <c r="I50" s="2266"/>
      <c r="J50" s="2"/>
    </row>
    <row r="51" spans="1:10" ht="12.75" x14ac:dyDescent="0.2">
      <c r="A51" s="2262"/>
      <c r="B51" s="2256"/>
      <c r="C51" s="743" t="str">
        <f>F!C177</f>
        <v>10 - 50 cm deep.</v>
      </c>
      <c r="D51" s="411">
        <f>F!D178</f>
        <v>0</v>
      </c>
      <c r="E51" s="126">
        <v>1</v>
      </c>
      <c r="F51" s="131">
        <f>D51*E51</f>
        <v>0</v>
      </c>
      <c r="G51" s="327"/>
      <c r="H51" s="2332"/>
      <c r="I51" s="2266"/>
      <c r="J51" s="2"/>
    </row>
    <row r="52" spans="1:10" ht="12.75" x14ac:dyDescent="0.2">
      <c r="A52" s="2262"/>
      <c r="B52" s="2256"/>
      <c r="C52" s="743" t="str">
        <f>F!C178</f>
        <v>0.5 - 1 m deep.</v>
      </c>
      <c r="D52" s="411">
        <f>F!D179</f>
        <v>0</v>
      </c>
      <c r="E52" s="126">
        <v>2</v>
      </c>
      <c r="F52" s="131">
        <f>D52*E52</f>
        <v>0</v>
      </c>
      <c r="G52" s="327"/>
      <c r="H52" s="2332"/>
      <c r="I52" s="2266"/>
      <c r="J52" s="2"/>
    </row>
    <row r="53" spans="1:10" ht="12.75" x14ac:dyDescent="0.2">
      <c r="A53" s="2262"/>
      <c r="B53" s="2256"/>
      <c r="C53" s="743" t="str">
        <f>F!C179</f>
        <v>1 - 2 m deep.</v>
      </c>
      <c r="D53" s="411">
        <f>F!D180</f>
        <v>0</v>
      </c>
      <c r="E53" s="126">
        <v>3</v>
      </c>
      <c r="F53" s="131">
        <f>D53*E53</f>
        <v>0</v>
      </c>
      <c r="G53" s="327"/>
      <c r="H53" s="2332"/>
      <c r="I53" s="2266"/>
      <c r="J53" s="2"/>
    </row>
    <row r="54" spans="1:10" ht="13.5" thickBot="1" x14ac:dyDescent="0.25">
      <c r="A54" s="2263"/>
      <c r="B54" s="2257"/>
      <c r="C54" s="571" t="str">
        <f>F!C180</f>
        <v>&gt;2 m deep. True for many fringe wetlands.</v>
      </c>
      <c r="D54" s="400">
        <f>F!D182</f>
        <v>0</v>
      </c>
      <c r="E54" s="919">
        <v>4</v>
      </c>
      <c r="F54" s="136">
        <f>D54*E54</f>
        <v>0</v>
      </c>
      <c r="G54" s="580"/>
      <c r="H54" s="2333"/>
      <c r="I54" s="2267"/>
      <c r="J54" s="2"/>
    </row>
    <row r="55" spans="1:10" ht="39" customHeight="1" thickBot="1" x14ac:dyDescent="0.25">
      <c r="A55" s="1150" t="str">
        <f>F!A187</f>
        <v>F31</v>
      </c>
      <c r="B55" s="2255"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v>
      </c>
      <c r="H55" s="2252" t="s">
        <v>1031</v>
      </c>
      <c r="I55" s="416" t="s">
        <v>1032</v>
      </c>
      <c r="J55" s="2"/>
    </row>
    <row r="56" spans="1:10" ht="25.5" x14ac:dyDescent="0.2">
      <c r="A56" s="1151"/>
      <c r="B56" s="2256"/>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53"/>
      <c r="I56" s="289"/>
      <c r="J56" s="2"/>
    </row>
    <row r="57" spans="1:10" ht="12.75" x14ac:dyDescent="0.2">
      <c r="A57" s="1151"/>
      <c r="B57" s="2256"/>
      <c r="C57" s="303" t="str">
        <f>F!C189</f>
        <v>5-30% of the water.</v>
      </c>
      <c r="D57" s="399">
        <f>F!D189</f>
        <v>0</v>
      </c>
      <c r="E57" s="76">
        <v>3</v>
      </c>
      <c r="F57" s="93">
        <f>D57*E57</f>
        <v>0</v>
      </c>
      <c r="G57" s="327"/>
      <c r="H57" s="2253"/>
      <c r="I57" s="289"/>
      <c r="J57" s="2"/>
    </row>
    <row r="58" spans="1:10" ht="12.75" x14ac:dyDescent="0.2">
      <c r="A58" s="1151"/>
      <c r="B58" s="2256"/>
      <c r="C58" s="303" t="str">
        <f>F!C190</f>
        <v>30-70% of the water.</v>
      </c>
      <c r="D58" s="399">
        <f>F!D190</f>
        <v>0</v>
      </c>
      <c r="E58" s="76">
        <v>2</v>
      </c>
      <c r="F58" s="93">
        <f>D58*E58</f>
        <v>0</v>
      </c>
      <c r="G58" s="327"/>
      <c r="H58" s="2253"/>
      <c r="I58" s="289"/>
      <c r="J58" s="2"/>
    </row>
    <row r="59" spans="1:10" ht="12.75" x14ac:dyDescent="0.2">
      <c r="A59" s="1151"/>
      <c r="B59" s="2256"/>
      <c r="C59" s="303" t="str">
        <f>F!C191</f>
        <v>70-95% of the water.</v>
      </c>
      <c r="D59" s="399">
        <f>F!D191</f>
        <v>0</v>
      </c>
      <c r="E59" s="76">
        <v>1</v>
      </c>
      <c r="F59" s="93">
        <f>D59*E59</f>
        <v>0</v>
      </c>
      <c r="G59" s="327"/>
      <c r="H59" s="2253"/>
      <c r="I59" s="289"/>
      <c r="J59" s="2"/>
    </row>
    <row r="60" spans="1:10" ht="13.5" thickBot="1" x14ac:dyDescent="0.25">
      <c r="A60" s="1151"/>
      <c r="B60" s="2256"/>
      <c r="C60" s="743" t="str">
        <f>F!C192</f>
        <v>&gt;95% of the water. Includes but not limited to wetlands with no outlets (F42).</v>
      </c>
      <c r="D60" s="411">
        <f>F!D192</f>
        <v>0</v>
      </c>
      <c r="E60" s="79">
        <v>0</v>
      </c>
      <c r="F60" s="95">
        <f>D60*E60</f>
        <v>0</v>
      </c>
      <c r="G60" s="559"/>
      <c r="H60" s="2253"/>
      <c r="I60" s="289"/>
      <c r="J60" s="2"/>
    </row>
    <row r="61" spans="1:10" ht="33" customHeight="1" thickBot="1" x14ac:dyDescent="0.25">
      <c r="A61" s="1150" t="str">
        <f>F!A195</f>
        <v>F33</v>
      </c>
      <c r="B61" s="2246"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t="str">
        <f>IF((SUM(D62:D67)=0),"",MAX(F62:F67)/MAX(E62:E67))</f>
        <v/>
      </c>
      <c r="H61" s="2321" t="s">
        <v>8602</v>
      </c>
      <c r="I61" s="279" t="s">
        <v>8537</v>
      </c>
      <c r="J61" s="2"/>
    </row>
    <row r="62" spans="1:10" ht="25.5" x14ac:dyDescent="0.2">
      <c r="A62" s="1151"/>
      <c r="B62" s="2247"/>
      <c r="C62" s="303" t="str">
        <f>F!C196</f>
        <v>None, or &lt;1% of the AA and largest pool occupies &lt;0.01 hectares. Enter "1" and SKIP to F38 (Floating Algae &amp; Duckweed).</v>
      </c>
      <c r="D62" s="399">
        <f>F!D196</f>
        <v>0</v>
      </c>
      <c r="E62" s="76">
        <v>5</v>
      </c>
      <c r="F62" s="93">
        <f t="shared" ref="F62:F67" si="2">D62*E62</f>
        <v>0</v>
      </c>
      <c r="G62" s="326"/>
      <c r="H62" s="2322"/>
      <c r="I62" s="278"/>
      <c r="J62" s="2"/>
    </row>
    <row r="63" spans="1:10" ht="12.75" x14ac:dyDescent="0.2">
      <c r="A63" s="1151"/>
      <c r="B63" s="2247"/>
      <c r="C63" s="303" t="str">
        <f>F!C197</f>
        <v>1-4% of the ponded water. Enter "1" and SKIP to F38 (Floating Algae &amp; Duckweed).</v>
      </c>
      <c r="D63" s="399">
        <f>F!D197</f>
        <v>0</v>
      </c>
      <c r="E63" s="76">
        <v>4</v>
      </c>
      <c r="F63" s="93">
        <f t="shared" si="2"/>
        <v>0</v>
      </c>
      <c r="G63" s="327"/>
      <c r="H63" s="2322"/>
      <c r="I63" s="278"/>
      <c r="J63" s="2"/>
    </row>
    <row r="64" spans="1:10" ht="12.75" x14ac:dyDescent="0.2">
      <c r="A64" s="1151"/>
      <c r="B64" s="2247"/>
      <c r="C64" s="303" t="str">
        <f>F!C198</f>
        <v>5-30% of the ponded water.</v>
      </c>
      <c r="D64" s="399">
        <f>F!D198</f>
        <v>0</v>
      </c>
      <c r="E64" s="76">
        <v>3</v>
      </c>
      <c r="F64" s="93">
        <f t="shared" si="2"/>
        <v>0</v>
      </c>
      <c r="G64" s="327"/>
      <c r="H64" s="2322"/>
      <c r="I64" s="278"/>
      <c r="J64" s="2"/>
    </row>
    <row r="65" spans="1:10" ht="12.75" x14ac:dyDescent="0.2">
      <c r="A65" s="1151"/>
      <c r="B65" s="2247"/>
      <c r="C65" s="303" t="str">
        <f>F!C199</f>
        <v>30-70% of the ponded water.</v>
      </c>
      <c r="D65" s="399">
        <f>F!D199</f>
        <v>0</v>
      </c>
      <c r="E65" s="76">
        <v>2</v>
      </c>
      <c r="F65" s="93">
        <f t="shared" si="2"/>
        <v>0</v>
      </c>
      <c r="G65" s="327"/>
      <c r="H65" s="2322"/>
      <c r="I65" s="278"/>
      <c r="J65" s="2"/>
    </row>
    <row r="66" spans="1:10" ht="12.75" x14ac:dyDescent="0.2">
      <c r="A66" s="1151"/>
      <c r="B66" s="2247"/>
      <c r="C66" s="303" t="str">
        <f>F!C200</f>
        <v>70-99% of the ponded water.</v>
      </c>
      <c r="D66" s="399">
        <f>F!D200</f>
        <v>0</v>
      </c>
      <c r="E66" s="76">
        <v>1</v>
      </c>
      <c r="F66" s="93">
        <f t="shared" si="2"/>
        <v>0</v>
      </c>
      <c r="G66" s="327"/>
      <c r="H66" s="2322"/>
      <c r="I66" s="278"/>
      <c r="J66" s="2"/>
    </row>
    <row r="67" spans="1:10" ht="13.5" thickBot="1" x14ac:dyDescent="0.25">
      <c r="A67" s="1152"/>
      <c r="B67" s="2248"/>
      <c r="C67" s="571" t="str">
        <f>F!C201</f>
        <v xml:space="preserve">100% of the ponded water. </v>
      </c>
      <c r="D67" s="400">
        <f>F!D201</f>
        <v>0</v>
      </c>
      <c r="E67" s="77">
        <v>0</v>
      </c>
      <c r="F67" s="97">
        <f t="shared" si="2"/>
        <v>0</v>
      </c>
      <c r="G67" s="580"/>
      <c r="H67" s="2323"/>
      <c r="I67" s="280"/>
      <c r="J67" s="2"/>
    </row>
    <row r="68" spans="1:10" ht="39" customHeight="1" thickBot="1" x14ac:dyDescent="0.25">
      <c r="A68" s="1151" t="str">
        <f>F!A202</f>
        <v>F34</v>
      </c>
      <c r="B68" s="2256"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53" t="s">
        <v>1033</v>
      </c>
      <c r="I68" s="289" t="s">
        <v>1034</v>
      </c>
      <c r="J68" s="2"/>
    </row>
    <row r="69" spans="1:10" ht="12.75" x14ac:dyDescent="0.2">
      <c r="A69" s="1151"/>
      <c r="B69" s="2256"/>
      <c r="C69" s="303" t="str">
        <f>F!C203</f>
        <v>&lt;1 m.</v>
      </c>
      <c r="D69" s="399">
        <f>F!D203</f>
        <v>0</v>
      </c>
      <c r="E69" s="99">
        <v>0</v>
      </c>
      <c r="F69" s="99">
        <f t="shared" ref="F69:F84" si="3">D69*E69</f>
        <v>0</v>
      </c>
      <c r="G69" s="327"/>
      <c r="H69" s="2253"/>
      <c r="I69" s="289"/>
      <c r="J69" s="2"/>
    </row>
    <row r="70" spans="1:10" ht="12.75" x14ac:dyDescent="0.2">
      <c r="A70" s="1151"/>
      <c r="B70" s="2256"/>
      <c r="C70" s="303" t="str">
        <f>F!C204</f>
        <v>1 - 9 m.</v>
      </c>
      <c r="D70" s="399">
        <f>F!D204</f>
        <v>0</v>
      </c>
      <c r="E70" s="93">
        <v>3</v>
      </c>
      <c r="F70" s="93">
        <f t="shared" si="3"/>
        <v>0</v>
      </c>
      <c r="G70" s="327"/>
      <c r="H70" s="2253"/>
      <c r="I70" s="289"/>
      <c r="J70" s="2"/>
    </row>
    <row r="71" spans="1:10" ht="12.75" x14ac:dyDescent="0.2">
      <c r="A71" s="1151"/>
      <c r="B71" s="2256"/>
      <c r="C71" s="303" t="str">
        <f>F!C205</f>
        <v>10 - 29 m.</v>
      </c>
      <c r="D71" s="399">
        <f>F!D205</f>
        <v>0</v>
      </c>
      <c r="E71" s="93">
        <v>5</v>
      </c>
      <c r="F71" s="93">
        <f t="shared" si="3"/>
        <v>0</v>
      </c>
      <c r="G71" s="327"/>
      <c r="H71" s="2253"/>
      <c r="I71" s="289"/>
      <c r="J71" s="2"/>
    </row>
    <row r="72" spans="1:10" ht="12.75" x14ac:dyDescent="0.2">
      <c r="A72" s="1151"/>
      <c r="B72" s="2256"/>
      <c r="C72" s="303" t="str">
        <f>F!C206</f>
        <v>30 - 49 m.</v>
      </c>
      <c r="D72" s="399">
        <f>F!D206</f>
        <v>0</v>
      </c>
      <c r="E72" s="93">
        <v>6</v>
      </c>
      <c r="F72" s="93">
        <f t="shared" si="3"/>
        <v>0</v>
      </c>
      <c r="G72" s="327"/>
      <c r="H72" s="2253"/>
      <c r="I72" s="289"/>
      <c r="J72" s="2"/>
    </row>
    <row r="73" spans="1:10" ht="12.75" x14ac:dyDescent="0.2">
      <c r="A73" s="1151"/>
      <c r="B73" s="2256"/>
      <c r="C73" s="303" t="str">
        <f>F!C207</f>
        <v>50 - 100 m.</v>
      </c>
      <c r="D73" s="399">
        <f>F!D207</f>
        <v>0</v>
      </c>
      <c r="E73" s="93">
        <v>7</v>
      </c>
      <c r="F73" s="93">
        <f t="shared" si="3"/>
        <v>0</v>
      </c>
      <c r="G73" s="327"/>
      <c r="H73" s="2253"/>
      <c r="I73" s="289"/>
      <c r="J73" s="2"/>
    </row>
    <row r="74" spans="1:10" ht="13.5" thickBot="1" x14ac:dyDescent="0.25">
      <c r="A74" s="1151"/>
      <c r="B74" s="2256"/>
      <c r="C74" s="743" t="str">
        <f>F!C208</f>
        <v>&gt; 100 m, or open water is absent at that time.</v>
      </c>
      <c r="D74" s="400">
        <f>F!D208</f>
        <v>0</v>
      </c>
      <c r="E74" s="97">
        <v>8</v>
      </c>
      <c r="F74" s="97">
        <f t="shared" si="3"/>
        <v>0</v>
      </c>
      <c r="G74" s="580"/>
      <c r="H74" s="2254"/>
      <c r="I74" s="289"/>
      <c r="J74" s="2"/>
    </row>
    <row r="75" spans="1:10" ht="64.5" thickBot="1" x14ac:dyDescent="0.25">
      <c r="A75" s="1150" t="str">
        <f>F!A232</f>
        <v>F43</v>
      </c>
      <c r="B75" s="2246"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v>
      </c>
      <c r="H75" s="2252" t="s">
        <v>1035</v>
      </c>
      <c r="I75" s="416" t="s">
        <v>1036</v>
      </c>
      <c r="J75" s="2"/>
    </row>
    <row r="76" spans="1:10" ht="12.75" x14ac:dyDescent="0.2">
      <c r="A76" s="1151"/>
      <c r="B76" s="2247"/>
      <c r="C76" s="303" t="str">
        <f>F!C233</f>
        <v>Persistent (surface water flows out for &gt;9 months/year).</v>
      </c>
      <c r="D76" s="558">
        <f>F!D233</f>
        <v>0</v>
      </c>
      <c r="E76" s="93">
        <v>8</v>
      </c>
      <c r="F76" s="93">
        <f t="shared" si="3"/>
        <v>0</v>
      </c>
      <c r="G76" s="327"/>
      <c r="H76" s="2253"/>
      <c r="I76" s="289"/>
      <c r="J76" s="2"/>
    </row>
    <row r="77" spans="1:10" ht="25.5" x14ac:dyDescent="0.2">
      <c r="A77" s="1151"/>
      <c r="B77" s="2247"/>
      <c r="C77" s="303" t="str">
        <f>F!C234</f>
        <v>Seasonal (surface water flows out for 14 days to 9 months/year, not necessarily consecutive).</v>
      </c>
      <c r="D77" s="558">
        <f>F!D234</f>
        <v>0</v>
      </c>
      <c r="E77" s="93">
        <v>5</v>
      </c>
      <c r="F77" s="93">
        <f t="shared" si="3"/>
        <v>0</v>
      </c>
      <c r="G77" s="327"/>
      <c r="H77" s="2253"/>
      <c r="I77" s="289"/>
      <c r="J77" s="2"/>
    </row>
    <row r="78" spans="1:10" ht="12.75" x14ac:dyDescent="0.2">
      <c r="A78" s="1151"/>
      <c r="B78" s="2247"/>
      <c r="C78" s="303" t="str">
        <f>F!C235</f>
        <v>Temporary (surface water flows out for &lt;14 days, not necessarily consecutive).</v>
      </c>
      <c r="D78" s="558">
        <f>F!D235</f>
        <v>0</v>
      </c>
      <c r="E78" s="93">
        <v>4</v>
      </c>
      <c r="F78" s="93">
        <f t="shared" si="3"/>
        <v>0</v>
      </c>
      <c r="G78" s="327"/>
      <c r="H78" s="2253"/>
      <c r="I78" s="289"/>
      <c r="J78" s="2"/>
    </row>
    <row r="79" spans="1:10" ht="51" x14ac:dyDescent="0.2">
      <c r="A79" s="1151"/>
      <c r="B79" s="2247"/>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53"/>
      <c r="I79" s="289"/>
      <c r="J79" s="2"/>
    </row>
    <row r="80" spans="1:10" ht="39" thickBot="1" x14ac:dyDescent="0.25">
      <c r="A80" s="1152"/>
      <c r="B80" s="2248"/>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54"/>
      <c r="I80" s="290"/>
      <c r="J80" s="2"/>
    </row>
    <row r="81" spans="1:11" ht="16.5" customHeight="1" thickBot="1" x14ac:dyDescent="0.25">
      <c r="A81" s="1150" t="str">
        <f>F!A251</f>
        <v>F47</v>
      </c>
      <c r="B81" s="2246" t="str">
        <f>F!B251</f>
        <v>Beaver Probability [SFTS, CC, APP, FA, FR, AM, WBF, WBN, RSB, KMH, PH, Sens]</v>
      </c>
      <c r="C81" s="894" t="str">
        <f>F!C251</f>
        <v>Use of the AA by beaver during the past 5 years is (select most applicable ONE):</v>
      </c>
      <c r="D81" s="768"/>
      <c r="E81" s="122"/>
      <c r="F81" s="122"/>
      <c r="G81" s="677">
        <f>MAX(F82:F84)/MAX(E82:E84)</f>
        <v>0</v>
      </c>
      <c r="H81" s="2252" t="s">
        <v>1037</v>
      </c>
      <c r="I81" s="416" t="s">
        <v>1038</v>
      </c>
      <c r="J81" s="2"/>
    </row>
    <row r="82" spans="1:11" ht="25.5" x14ac:dyDescent="0.2">
      <c r="A82" s="1151"/>
      <c r="B82" s="2247"/>
      <c r="C82" s="303" t="str">
        <f>F!C252</f>
        <v>Evident from direct observation or presence of gnawed limbs, dams, tracks, dens, lodges, or extensive stands of water-killed trees (snags).</v>
      </c>
      <c r="D82" s="399">
        <f>F!D252</f>
        <v>0</v>
      </c>
      <c r="E82" s="93">
        <v>3</v>
      </c>
      <c r="F82" s="93">
        <f t="shared" si="3"/>
        <v>0</v>
      </c>
      <c r="G82" s="327"/>
      <c r="H82" s="2253"/>
      <c r="I82" s="289"/>
      <c r="J82" s="2"/>
    </row>
    <row r="83" spans="1:11" ht="51" x14ac:dyDescent="0.2">
      <c r="A83" s="1151"/>
      <c r="B83" s="2247"/>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253"/>
      <c r="I83" s="289"/>
      <c r="J83" s="2"/>
    </row>
    <row r="84" spans="1:11" ht="26.25" thickBot="1" x14ac:dyDescent="0.25">
      <c r="A84" s="1152"/>
      <c r="B84" s="2248"/>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54"/>
      <c r="I84" s="290"/>
      <c r="J84" s="2"/>
    </row>
    <row r="85" spans="1:11" ht="17.25" customHeight="1" thickBot="1" x14ac:dyDescent="0.25">
      <c r="A85" s="2262" t="str">
        <f>F!A255</f>
        <v>F48</v>
      </c>
      <c r="B85" s="2256" t="str">
        <f>F!B255</f>
        <v>Groundwater Strength of Evidence [WS, SFTS, PRb, NR, APP, FA, FR, AM]</v>
      </c>
      <c r="C85" s="649" t="str">
        <f>F!C255</f>
        <v>Select first applicable choice:</v>
      </c>
      <c r="D85" s="666"/>
      <c r="E85" s="133"/>
      <c r="F85" s="134"/>
      <c r="G85" s="672">
        <f>MAX(F86:F88)/MAX(E86:E88)</f>
        <v>0</v>
      </c>
      <c r="H85" s="2332" t="s">
        <v>1039</v>
      </c>
      <c r="I85" s="2266" t="s">
        <v>1040</v>
      </c>
      <c r="J85" s="2"/>
    </row>
    <row r="86" spans="1:11" ht="42.75" customHeight="1" x14ac:dyDescent="0.2">
      <c r="A86" s="2262"/>
      <c r="B86" s="2256"/>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332"/>
      <c r="I86" s="2266"/>
      <c r="J86" s="2"/>
    </row>
    <row r="87" spans="1:11" s="21" customFormat="1" ht="38.25" x14ac:dyDescent="0.2">
      <c r="A87" s="2262"/>
      <c r="B87" s="2256"/>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32"/>
      <c r="I87" s="2266"/>
      <c r="J87" s="2"/>
      <c r="K87" s="2"/>
    </row>
    <row r="88" spans="1:11" ht="26.25" thickBot="1" x14ac:dyDescent="0.25">
      <c r="A88" s="2263"/>
      <c r="B88" s="2257"/>
      <c r="C88" s="743" t="str">
        <f>F!C258</f>
        <v>Neither of above is true, although some groundwater may discharge to or flow through the AA. Or groundwater influx is unknown.</v>
      </c>
      <c r="D88" s="411">
        <f>F!D260</f>
        <v>0</v>
      </c>
      <c r="E88" s="132">
        <v>0</v>
      </c>
      <c r="F88" s="132">
        <f>D88*E88</f>
        <v>0</v>
      </c>
      <c r="G88" s="559"/>
      <c r="H88" s="2333"/>
      <c r="I88" s="2267"/>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24"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325"/>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29" t="str">
        <f>OF!A135</f>
        <v>OF25</v>
      </c>
      <c r="B92" s="2246" t="str">
        <f>OF!B135</f>
        <v>Aspect [WS, SFTSb, NR, CS, CC, APP]</v>
      </c>
      <c r="C92" s="751" t="str">
        <f>OF!C135</f>
        <v>The overland flow direction of most surface water (in streams, rivers, or runoff) that enters the AA is:</v>
      </c>
      <c r="D92" s="666"/>
      <c r="E92" s="133"/>
      <c r="F92" s="1894"/>
      <c r="G92" s="1895">
        <f>MAX(F93:F95)/MAX(E93:E95)</f>
        <v>0</v>
      </c>
      <c r="H92" s="2334" t="s">
        <v>1042</v>
      </c>
      <c r="I92" s="2252" t="s">
        <v>1043</v>
      </c>
      <c r="J92" s="2"/>
    </row>
    <row r="93" spans="1:11" ht="17.25" customHeight="1" x14ac:dyDescent="0.2">
      <c r="A93" s="2330"/>
      <c r="B93" s="2247"/>
      <c r="C93" s="894" t="str">
        <f>OF!C136</f>
        <v>Northward (N, NE). north-facing contributing area.</v>
      </c>
      <c r="D93" s="398">
        <f>OF!D136</f>
        <v>0</v>
      </c>
      <c r="E93" s="125">
        <v>2</v>
      </c>
      <c r="F93" s="125">
        <f>D93*E93</f>
        <v>0</v>
      </c>
      <c r="G93" s="769"/>
      <c r="H93" s="2332"/>
      <c r="I93" s="2253"/>
      <c r="J93" s="2"/>
    </row>
    <row r="94" spans="1:11" ht="12.75" x14ac:dyDescent="0.2">
      <c r="A94" s="2330"/>
      <c r="B94" s="2247"/>
      <c r="C94" s="303" t="str">
        <f>OF!C137</f>
        <v>Southward (S, SW). south-facing contributing area.</v>
      </c>
      <c r="D94" s="399">
        <f>OF!D137</f>
        <v>0</v>
      </c>
      <c r="E94" s="131">
        <v>3</v>
      </c>
      <c r="F94" s="131">
        <f>D94*E94</f>
        <v>0</v>
      </c>
      <c r="G94" s="769"/>
      <c r="H94" s="2332"/>
      <c r="I94" s="2253"/>
      <c r="J94" s="2"/>
    </row>
    <row r="95" spans="1:11" ht="13.5" thickBot="1" x14ac:dyDescent="0.25">
      <c r="A95" s="2331"/>
      <c r="B95" s="2248"/>
      <c r="C95" s="571" t="str">
        <f>OF!C138</f>
        <v>Other (E, SE, W, NW), or no detectable uphill slope or input channel (flat).</v>
      </c>
      <c r="D95" s="400">
        <f>OF!D138</f>
        <v>0</v>
      </c>
      <c r="E95" s="136">
        <v>0</v>
      </c>
      <c r="F95" s="136">
        <f>D95*E95</f>
        <v>0</v>
      </c>
      <c r="G95" s="770"/>
      <c r="H95" s="2333"/>
      <c r="I95" s="2254"/>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v>
      </c>
      <c r="E96" s="138"/>
      <c r="F96" s="138"/>
      <c r="G96" s="1895">
        <f>1-D96</f>
        <v>1</v>
      </c>
      <c r="H96" s="4" t="s">
        <v>1044</v>
      </c>
      <c r="I96" s="48" t="s">
        <v>1045</v>
      </c>
      <c r="J96" s="2"/>
    </row>
    <row r="97" spans="1:10" ht="90" thickBot="1" x14ac:dyDescent="0.25">
      <c r="A97" s="2329" t="str">
        <f>OF!A121</f>
        <v>OF22</v>
      </c>
      <c r="B97" s="2246"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v>
      </c>
      <c r="H97" s="2321" t="s">
        <v>1046</v>
      </c>
      <c r="I97" s="2252" t="s">
        <v>1047</v>
      </c>
      <c r="J97" s="2"/>
    </row>
    <row r="98" spans="1:10" ht="25.5" x14ac:dyDescent="0.2">
      <c r="A98" s="2330"/>
      <c r="B98" s="2247"/>
      <c r="C98" s="700" t="str">
        <f>OF!C122</f>
        <v>&lt;0.01, or catchment size unknown due to stormwater pipes that collect water from an indeterminate area.</v>
      </c>
      <c r="D98" s="398">
        <f>OF!D122</f>
        <v>0</v>
      </c>
      <c r="E98" s="125">
        <v>3</v>
      </c>
      <c r="F98" s="131">
        <f t="shared" ref="F98:F101" si="4">D98*E98</f>
        <v>0</v>
      </c>
      <c r="G98" s="326"/>
      <c r="H98" s="2322"/>
      <c r="I98" s="2253"/>
      <c r="J98" s="2"/>
    </row>
    <row r="99" spans="1:10" ht="12.75" x14ac:dyDescent="0.2">
      <c r="A99" s="2330"/>
      <c r="B99" s="2247"/>
      <c r="C99" s="700" t="str">
        <f>OF!C123</f>
        <v>0.01 to 0.1.</v>
      </c>
      <c r="D99" s="398">
        <f>OF!D123</f>
        <v>0</v>
      </c>
      <c r="E99" s="131">
        <v>2</v>
      </c>
      <c r="F99" s="131">
        <f t="shared" si="4"/>
        <v>0</v>
      </c>
      <c r="G99" s="326"/>
      <c r="H99" s="2322"/>
      <c r="I99" s="2253"/>
      <c r="J99" s="2"/>
    </row>
    <row r="100" spans="1:10" ht="12.75" x14ac:dyDescent="0.2">
      <c r="A100" s="2330"/>
      <c r="B100" s="2247"/>
      <c r="C100" s="700" t="str">
        <f>OF!C124</f>
        <v>0.1 to 1.</v>
      </c>
      <c r="D100" s="399">
        <f>OF!D124</f>
        <v>0</v>
      </c>
      <c r="E100" s="131">
        <v>1</v>
      </c>
      <c r="F100" s="131">
        <f t="shared" si="4"/>
        <v>0</v>
      </c>
      <c r="G100" s="327"/>
      <c r="H100" s="2322"/>
      <c r="I100" s="2253"/>
      <c r="J100" s="2"/>
    </row>
    <row r="101" spans="1:10" ht="26.25" thickBot="1" x14ac:dyDescent="0.25">
      <c r="A101" s="2331"/>
      <c r="B101" s="2248"/>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23"/>
      <c r="I101" s="2254"/>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58" t="str">
        <f>OF!A148</f>
        <v>OF28</v>
      </c>
      <c r="B103" s="2255"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52" t="s">
        <v>1048</v>
      </c>
      <c r="I103" s="2271" t="s">
        <v>1049</v>
      </c>
      <c r="J103" s="2"/>
    </row>
    <row r="104" spans="1:10" ht="114.75" x14ac:dyDescent="0.2">
      <c r="A104" s="2259"/>
      <c r="B104" s="2256"/>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53"/>
      <c r="I104" s="2266"/>
      <c r="J104" s="2"/>
    </row>
    <row r="105" spans="1:10" ht="39" thickBot="1" x14ac:dyDescent="0.25">
      <c r="A105" s="2259"/>
      <c r="B105" s="2256"/>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53"/>
      <c r="I105" s="2266"/>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40" t="str">
        <f>F!A266</f>
        <v>F50</v>
      </c>
      <c r="B107" s="2255"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v>
      </c>
      <c r="H107" s="2297" t="s">
        <v>1051</v>
      </c>
      <c r="I107" s="2271" t="s">
        <v>1052</v>
      </c>
      <c r="J107" s="2"/>
    </row>
    <row r="108" spans="1:10" ht="12.75" x14ac:dyDescent="0.2">
      <c r="A108" s="2341"/>
      <c r="B108" s="2256"/>
      <c r="C108" s="303" t="str">
        <f>F!C267</f>
        <v>&lt;5%.</v>
      </c>
      <c r="D108" s="399">
        <f>F!D267</f>
        <v>0</v>
      </c>
      <c r="E108" s="131">
        <v>4</v>
      </c>
      <c r="F108" s="131">
        <f>D108*E108</f>
        <v>0</v>
      </c>
      <c r="G108" s="769"/>
      <c r="H108" s="2298"/>
      <c r="I108" s="2266"/>
      <c r="J108" s="2"/>
    </row>
    <row r="109" spans="1:10" ht="12.75" x14ac:dyDescent="0.2">
      <c r="A109" s="2341"/>
      <c r="B109" s="2256"/>
      <c r="C109" s="303" t="str">
        <f>F!C268</f>
        <v>5 to &lt;30%.</v>
      </c>
      <c r="D109" s="399">
        <f>F!D268</f>
        <v>0</v>
      </c>
      <c r="E109" s="131">
        <v>3</v>
      </c>
      <c r="F109" s="131">
        <f>D109*E109</f>
        <v>0</v>
      </c>
      <c r="G109" s="769"/>
      <c r="H109" s="2298"/>
      <c r="I109" s="2266"/>
      <c r="J109" s="2"/>
    </row>
    <row r="110" spans="1:10" ht="12.75" x14ac:dyDescent="0.2">
      <c r="A110" s="2341"/>
      <c r="B110" s="2256"/>
      <c r="C110" s="303" t="str">
        <f>F!C269</f>
        <v>30 to &lt;60%.</v>
      </c>
      <c r="D110" s="399">
        <f>F!D269</f>
        <v>0</v>
      </c>
      <c r="E110" s="131">
        <v>2</v>
      </c>
      <c r="F110" s="131">
        <f>D110*E110</f>
        <v>0</v>
      </c>
      <c r="G110" s="769"/>
      <c r="H110" s="2298"/>
      <c r="I110" s="2266"/>
      <c r="J110" s="2"/>
    </row>
    <row r="111" spans="1:10" ht="12.75" x14ac:dyDescent="0.2">
      <c r="A111" s="2341"/>
      <c r="B111" s="2256"/>
      <c r="C111" s="303" t="str">
        <f>F!C270</f>
        <v>60 to 90%.</v>
      </c>
      <c r="D111" s="399">
        <f>F!D270</f>
        <v>0</v>
      </c>
      <c r="E111" s="131">
        <v>1</v>
      </c>
      <c r="F111" s="131">
        <f>D111*E111</f>
        <v>0</v>
      </c>
      <c r="G111" s="769"/>
      <c r="H111" s="2298"/>
      <c r="I111" s="2266"/>
      <c r="J111" s="2"/>
    </row>
    <row r="112" spans="1:10" ht="13.5" thickBot="1" x14ac:dyDescent="0.25">
      <c r="A112" s="2342"/>
      <c r="B112" s="2257"/>
      <c r="C112" s="571" t="str">
        <f>F!C271</f>
        <v>&gt;90%, or all the area within 30 m of the AA edge is other wetlands. SKIP to F53.</v>
      </c>
      <c r="D112" s="400">
        <f>F!D271</f>
        <v>0</v>
      </c>
      <c r="E112" s="136">
        <v>0</v>
      </c>
      <c r="F112" s="136">
        <f>D112*E112</f>
        <v>0</v>
      </c>
      <c r="G112" s="770"/>
      <c r="H112" s="2299"/>
      <c r="I112" s="2267"/>
      <c r="J112" s="2"/>
    </row>
    <row r="113" spans="1:10" ht="17.25" thickBot="1" x14ac:dyDescent="0.25">
      <c r="A113" s="2315"/>
      <c r="B113" s="2315"/>
      <c r="C113" s="2315"/>
      <c r="D113" s="2315"/>
      <c r="E113" s="2315"/>
      <c r="F113" s="2315"/>
      <c r="G113" s="2315"/>
      <c r="H113" s="2315"/>
    </row>
    <row r="114" spans="1:10" ht="38.25" x14ac:dyDescent="0.2">
      <c r="A114" s="2"/>
      <c r="B114" s="2"/>
      <c r="C114" s="2335" t="s">
        <v>1053</v>
      </c>
      <c r="D114" s="2338" t="s">
        <v>1054</v>
      </c>
      <c r="E114" s="2339"/>
      <c r="F114" s="2339"/>
      <c r="G114" s="413">
        <f>AVERAGE(ShadedWat2,VegWidth2,AllDry2,BarePct2,WoodyPct2, PondedPct2, Depth2_, OWpct2)</f>
        <v>0</v>
      </c>
      <c r="H114" s="673" t="s">
        <v>9142</v>
      </c>
      <c r="I114" s="771" t="s">
        <v>1055</v>
      </c>
      <c r="J114" s="297" t="s">
        <v>1056</v>
      </c>
    </row>
    <row r="115" spans="1:10" ht="25.5" x14ac:dyDescent="0.2">
      <c r="A115" s="2"/>
      <c r="B115" s="2"/>
      <c r="C115" s="2336"/>
      <c r="D115" s="2317" t="s">
        <v>1057</v>
      </c>
      <c r="E115" s="2318"/>
      <c r="F115" s="2318"/>
      <c r="G115" s="414">
        <f>IF((AllSat1=1), "", MAX(Beaver2,MossCov2, Wettype2, Soil2_))</f>
        <v>0</v>
      </c>
      <c r="H115" s="674" t="s">
        <v>9141</v>
      </c>
      <c r="I115" s="772" t="s">
        <v>1058</v>
      </c>
      <c r="J115" s="295" t="s">
        <v>1059</v>
      </c>
    </row>
    <row r="116" spans="1:10" ht="17.25" thickBot="1" x14ac:dyDescent="0.25">
      <c r="A116" s="2"/>
      <c r="B116" s="2"/>
      <c r="C116" s="2337"/>
      <c r="D116" s="2319" t="s">
        <v>1060</v>
      </c>
      <c r="E116" s="2320"/>
      <c r="F116" s="2320"/>
      <c r="G116" s="675">
        <f>AVERAGE(Groundw2_, MAX(TDS_2, Conduc2))</f>
        <v>0</v>
      </c>
      <c r="H116" s="676" t="s">
        <v>8541</v>
      </c>
      <c r="I116" s="772" t="s">
        <v>1061</v>
      </c>
      <c r="J116" s="1170" t="s">
        <v>1062</v>
      </c>
    </row>
    <row r="117" spans="1:10" ht="26.25" thickBot="1" x14ac:dyDescent="0.25">
      <c r="A117" s="2315"/>
      <c r="B117" s="2316"/>
      <c r="C117" s="2290" t="s">
        <v>1063</v>
      </c>
      <c r="D117" s="2291"/>
      <c r="E117" s="2292"/>
      <c r="F117" s="336" t="s">
        <v>988</v>
      </c>
      <c r="G117" s="1421">
        <f>10*OutDura2*((AVERAGE(GWin,Storage2,Shade2)))</f>
        <v>0</v>
      </c>
      <c r="H117" s="2288" t="s">
        <v>1064</v>
      </c>
      <c r="I117" s="2289"/>
      <c r="J117" s="291" t="s">
        <v>1065</v>
      </c>
    </row>
    <row r="118" spans="1:10" ht="51.75" thickBot="1" x14ac:dyDescent="0.25">
      <c r="A118" s="2315"/>
      <c r="B118" s="2316"/>
      <c r="C118" s="2290" t="s">
        <v>1066</v>
      </c>
      <c r="D118" s="2291"/>
      <c r="E118" s="2292"/>
      <c r="F118" s="336" t="s">
        <v>991</v>
      </c>
      <c r="G118" s="1510">
        <f>10*(OutDura2*AVERAGE(ShedPos2, WetPct2v,Aspect2_, Gdays2v,Fish2v, HotInflo2v, BufferPct2v))</f>
        <v>0</v>
      </c>
      <c r="H118" s="2288" t="s">
        <v>9140</v>
      </c>
      <c r="I118" s="228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I107:I112"/>
    <mergeCell ref="I97:I101"/>
    <mergeCell ref="H107:H112"/>
    <mergeCell ref="H103:H105"/>
    <mergeCell ref="H97:H101"/>
    <mergeCell ref="I103:I105"/>
    <mergeCell ref="H92:H95"/>
    <mergeCell ref="A103:A105"/>
    <mergeCell ref="A97:A101"/>
    <mergeCell ref="C114:C116"/>
    <mergeCell ref="D114:F114"/>
    <mergeCell ref="A113:H113"/>
    <mergeCell ref="A107:A112"/>
    <mergeCell ref="B103:B105"/>
    <mergeCell ref="B107:B112"/>
    <mergeCell ref="B97:B101"/>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C118:E118"/>
    <mergeCell ref="A117:B118"/>
    <mergeCell ref="H118:I118"/>
    <mergeCell ref="D115:F115"/>
    <mergeCell ref="H117:I117"/>
    <mergeCell ref="D116:F116"/>
    <mergeCell ref="C117:E117"/>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66" t="s">
        <v>1113</v>
      </c>
      <c r="B1" s="2367"/>
      <c r="C1" s="40" t="s">
        <v>8604</v>
      </c>
      <c r="D1" s="52" t="s">
        <v>920</v>
      </c>
      <c r="E1" s="2368"/>
      <c r="F1" s="2369"/>
      <c r="G1" s="2369"/>
      <c r="H1" s="2369"/>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79" t="str">
        <f>OF!A121</f>
        <v>OF22</v>
      </c>
      <c r="B3" s="2255"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v>
      </c>
      <c r="H3" s="2252" t="s">
        <v>1115</v>
      </c>
      <c r="I3" s="2252" t="s">
        <v>1116</v>
      </c>
      <c r="K3" s="2"/>
      <c r="L3" s="2"/>
      <c r="M3" s="2"/>
      <c r="N3" s="2"/>
      <c r="O3" s="2"/>
      <c r="P3" s="2"/>
      <c r="Q3" s="2"/>
      <c r="R3" s="2"/>
    </row>
    <row r="4" spans="1:18" ht="25.5" x14ac:dyDescent="0.2">
      <c r="A4" s="2280"/>
      <c r="B4" s="2256"/>
      <c r="C4" s="302" t="str">
        <f>OF!C122</f>
        <v>&lt;0.01, or catchment size unknown due to stormwater pipes that collect water from an indeterminate area.</v>
      </c>
      <c r="D4" s="401">
        <f>OF!D122</f>
        <v>0</v>
      </c>
      <c r="E4" s="26">
        <v>0</v>
      </c>
      <c r="F4" s="76">
        <f>D4*E4</f>
        <v>0</v>
      </c>
      <c r="G4" s="191"/>
      <c r="H4" s="2253"/>
      <c r="I4" s="2253"/>
      <c r="K4" s="2"/>
      <c r="L4" s="2"/>
      <c r="M4" s="2"/>
      <c r="N4" s="2"/>
      <c r="O4" s="2"/>
      <c r="P4" s="2"/>
      <c r="Q4" s="2"/>
      <c r="R4" s="2"/>
    </row>
    <row r="5" spans="1:18" x14ac:dyDescent="0.2">
      <c r="A5" s="2280"/>
      <c r="B5" s="2256"/>
      <c r="C5" s="303" t="str">
        <f>OF!C123</f>
        <v>0.01 to 0.1.</v>
      </c>
      <c r="D5" s="558">
        <f>OF!D123</f>
        <v>0</v>
      </c>
      <c r="E5" s="26">
        <v>1</v>
      </c>
      <c r="F5" s="76">
        <f>D5*E5</f>
        <v>0</v>
      </c>
      <c r="G5" s="192"/>
      <c r="H5" s="2253"/>
      <c r="I5" s="2253"/>
      <c r="K5" s="2"/>
      <c r="L5" s="2"/>
      <c r="M5" s="2"/>
      <c r="N5" s="2"/>
      <c r="O5" s="2"/>
      <c r="P5" s="2"/>
      <c r="Q5" s="2"/>
      <c r="R5" s="2"/>
    </row>
    <row r="6" spans="1:18" x14ac:dyDescent="0.2">
      <c r="A6" s="2280"/>
      <c r="B6" s="2256"/>
      <c r="C6" s="303" t="str">
        <f>OF!C124</f>
        <v>0.1 to 1.</v>
      </c>
      <c r="D6" s="558">
        <f>OF!D124</f>
        <v>0</v>
      </c>
      <c r="E6" s="26">
        <v>2</v>
      </c>
      <c r="F6" s="76">
        <f>D6*E6</f>
        <v>0</v>
      </c>
      <c r="G6" s="192"/>
      <c r="H6" s="2253"/>
      <c r="I6" s="2253"/>
      <c r="K6" s="2"/>
      <c r="L6" s="2"/>
      <c r="M6" s="2"/>
      <c r="N6" s="2"/>
      <c r="O6" s="2"/>
      <c r="P6" s="2"/>
      <c r="Q6" s="2"/>
      <c r="R6" s="2"/>
    </row>
    <row r="7" spans="1:18" ht="26.25" thickBot="1" x14ac:dyDescent="0.25">
      <c r="A7" s="2281"/>
      <c r="B7" s="2257"/>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54"/>
      <c r="I7" s="2254"/>
      <c r="K7" s="2"/>
      <c r="L7" s="2"/>
      <c r="M7" s="2"/>
      <c r="N7" s="2"/>
      <c r="O7" s="2"/>
      <c r="P7" s="2"/>
      <c r="Q7" s="2"/>
      <c r="R7" s="2"/>
    </row>
    <row r="8" spans="1:18" ht="17.25" customHeight="1" thickBot="1" x14ac:dyDescent="0.25">
      <c r="A8" s="2279" t="str">
        <f>OF!A139</f>
        <v>OF26</v>
      </c>
      <c r="B8" s="2255"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v>
      </c>
      <c r="H8" s="2252" t="s">
        <v>1117</v>
      </c>
      <c r="I8" s="2252" t="s">
        <v>1118</v>
      </c>
      <c r="K8" s="2"/>
      <c r="L8" s="2"/>
      <c r="M8" s="2"/>
      <c r="N8" s="2"/>
      <c r="O8" s="2"/>
      <c r="P8" s="2"/>
      <c r="Q8" s="2"/>
      <c r="R8" s="2"/>
    </row>
    <row r="9" spans="1:18" x14ac:dyDescent="0.2">
      <c r="A9" s="2280"/>
      <c r="B9" s="2256"/>
      <c r="C9" s="302" t="str">
        <f>OF!C140</f>
        <v>&lt;10 m</v>
      </c>
      <c r="D9" s="401">
        <f>OF!D140</f>
        <v>0</v>
      </c>
      <c r="E9" s="26">
        <v>0</v>
      </c>
      <c r="F9" s="76">
        <f t="shared" ref="F9:F14" si="0">D9*E9</f>
        <v>0</v>
      </c>
      <c r="G9" s="192"/>
      <c r="H9" s="2253"/>
      <c r="I9" s="2253"/>
      <c r="K9" s="2"/>
      <c r="L9" s="2"/>
      <c r="M9" s="2"/>
      <c r="N9" s="2"/>
      <c r="O9" s="2"/>
      <c r="P9" s="2"/>
      <c r="Q9" s="2"/>
      <c r="R9" s="2"/>
    </row>
    <row r="10" spans="1:18" x14ac:dyDescent="0.2">
      <c r="A10" s="2280"/>
      <c r="B10" s="2256"/>
      <c r="C10" s="303" t="str">
        <f>OF!C141</f>
        <v>10 - 50 m</v>
      </c>
      <c r="D10" s="558">
        <f>OF!D141</f>
        <v>0</v>
      </c>
      <c r="E10" s="26">
        <v>1</v>
      </c>
      <c r="F10" s="76">
        <f t="shared" si="0"/>
        <v>0</v>
      </c>
      <c r="G10" s="192"/>
      <c r="H10" s="2253"/>
      <c r="I10" s="2253"/>
      <c r="K10" s="2"/>
      <c r="L10" s="2"/>
      <c r="M10" s="2"/>
      <c r="N10" s="2"/>
      <c r="O10" s="2"/>
      <c r="P10" s="2"/>
      <c r="Q10" s="2"/>
      <c r="R10" s="2"/>
    </row>
    <row r="11" spans="1:18" x14ac:dyDescent="0.2">
      <c r="A11" s="2280"/>
      <c r="B11" s="2256"/>
      <c r="C11" s="303" t="str">
        <f>OF!C142</f>
        <v>50 - 100 m</v>
      </c>
      <c r="D11" s="558">
        <f>OF!D142</f>
        <v>0</v>
      </c>
      <c r="E11" s="26">
        <v>2</v>
      </c>
      <c r="F11" s="76">
        <f t="shared" si="0"/>
        <v>0</v>
      </c>
      <c r="G11" s="192"/>
      <c r="H11" s="2253"/>
      <c r="I11" s="2253"/>
      <c r="K11" s="2"/>
      <c r="L11" s="2"/>
      <c r="M11" s="2"/>
      <c r="N11" s="2"/>
      <c r="O11" s="2"/>
      <c r="P11" s="2"/>
      <c r="Q11" s="2"/>
      <c r="R11" s="2"/>
    </row>
    <row r="12" spans="1:18" x14ac:dyDescent="0.2">
      <c r="A12" s="2280"/>
      <c r="B12" s="2256"/>
      <c r="C12" s="303" t="str">
        <f>OF!C143</f>
        <v>100 - 1000 m</v>
      </c>
      <c r="D12" s="558">
        <f>OF!D143</f>
        <v>0</v>
      </c>
      <c r="E12" s="26">
        <v>3</v>
      </c>
      <c r="F12" s="76">
        <f t="shared" si="0"/>
        <v>0</v>
      </c>
      <c r="G12" s="192"/>
      <c r="H12" s="2253"/>
      <c r="I12" s="2253"/>
      <c r="K12" s="2"/>
      <c r="L12" s="2"/>
      <c r="M12" s="2"/>
      <c r="N12" s="2"/>
      <c r="O12" s="2"/>
      <c r="P12" s="2"/>
      <c r="Q12" s="2"/>
      <c r="R12" s="2"/>
    </row>
    <row r="13" spans="1:18" x14ac:dyDescent="0.2">
      <c r="A13" s="2280"/>
      <c r="B13" s="2256"/>
      <c r="C13" s="303" t="str">
        <f>OF!C144</f>
        <v>1- 2 km</v>
      </c>
      <c r="D13" s="558">
        <f>OF!D144</f>
        <v>0</v>
      </c>
      <c r="E13" s="26">
        <v>4</v>
      </c>
      <c r="F13" s="76">
        <f t="shared" si="0"/>
        <v>0</v>
      </c>
      <c r="G13" s="192"/>
      <c r="H13" s="2253"/>
      <c r="I13" s="2253"/>
      <c r="K13" s="2"/>
      <c r="L13" s="2"/>
      <c r="M13" s="2"/>
      <c r="N13" s="2"/>
      <c r="O13" s="2"/>
      <c r="P13" s="2"/>
      <c r="Q13" s="2"/>
      <c r="R13" s="2"/>
    </row>
    <row r="14" spans="1:18" ht="17.25" thickBot="1" x14ac:dyDescent="0.25">
      <c r="A14" s="2281"/>
      <c r="B14" s="2257"/>
      <c r="C14" s="571" t="str">
        <f>OF!C145</f>
        <v>&gt;2 km</v>
      </c>
      <c r="D14" s="794">
        <f>OF!D145</f>
        <v>0</v>
      </c>
      <c r="E14" s="67">
        <v>6</v>
      </c>
      <c r="F14" s="77">
        <f t="shared" si="0"/>
        <v>0</v>
      </c>
      <c r="G14" s="193"/>
      <c r="H14" s="2254"/>
      <c r="I14" s="2254"/>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79" t="str">
        <f>F!A63</f>
        <v>F9</v>
      </c>
      <c r="B16" s="2246"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v>
      </c>
      <c r="H16" s="2271" t="s">
        <v>8605</v>
      </c>
      <c r="I16" s="2252" t="s">
        <v>8542</v>
      </c>
      <c r="K16" s="2"/>
      <c r="L16" s="2"/>
      <c r="M16" s="2"/>
      <c r="N16" s="2"/>
      <c r="O16" s="2"/>
      <c r="P16" s="2"/>
      <c r="Q16" s="2"/>
      <c r="R16" s="2"/>
    </row>
    <row r="17" spans="1:18" x14ac:dyDescent="0.2">
      <c r="A17" s="2380"/>
      <c r="B17" s="2247"/>
      <c r="C17" s="303" t="str">
        <f>F!C64</f>
        <v>&lt;1% of the herbaceous vegetation, or herbaceous vegetation is absent.</v>
      </c>
      <c r="D17" s="558">
        <f>F!D64</f>
        <v>0</v>
      </c>
      <c r="E17" s="26">
        <v>0</v>
      </c>
      <c r="F17" s="76">
        <f t="shared" ref="F17:F20" si="1">D17*E17</f>
        <v>0</v>
      </c>
      <c r="G17" s="243"/>
      <c r="H17" s="2266"/>
      <c r="I17" s="2253"/>
      <c r="K17" s="2"/>
      <c r="L17" s="2"/>
      <c r="M17" s="2"/>
      <c r="N17" s="2"/>
      <c r="O17" s="2"/>
      <c r="P17" s="2"/>
      <c r="Q17" s="2"/>
      <c r="R17" s="2"/>
    </row>
    <row r="18" spans="1:18" x14ac:dyDescent="0.2">
      <c r="A18" s="2380"/>
      <c r="B18" s="2247"/>
      <c r="C18" s="303" t="str">
        <f>F!C65</f>
        <v>1-25% of the herbaceous vegetation.</v>
      </c>
      <c r="D18" s="558">
        <f>F!D65</f>
        <v>0</v>
      </c>
      <c r="E18" s="26">
        <v>2</v>
      </c>
      <c r="F18" s="76">
        <f t="shared" si="1"/>
        <v>0</v>
      </c>
      <c r="G18" s="181"/>
      <c r="H18" s="2266"/>
      <c r="I18" s="2253"/>
      <c r="K18" s="2"/>
      <c r="L18" s="2"/>
      <c r="M18" s="2"/>
      <c r="N18" s="2"/>
      <c r="O18" s="2"/>
      <c r="P18" s="2"/>
      <c r="Q18" s="2"/>
      <c r="R18" s="2"/>
    </row>
    <row r="19" spans="1:18" x14ac:dyDescent="0.2">
      <c r="A19" s="2380"/>
      <c r="B19" s="2247"/>
      <c r="C19" s="303" t="str">
        <f>F!C66</f>
        <v>25-75% of the herbaceous vegetation.</v>
      </c>
      <c r="D19" s="558">
        <f>F!D66</f>
        <v>0</v>
      </c>
      <c r="E19" s="26">
        <v>3</v>
      </c>
      <c r="F19" s="76">
        <f t="shared" si="1"/>
        <v>0</v>
      </c>
      <c r="G19" s="181"/>
      <c r="H19" s="2266"/>
      <c r="I19" s="2253"/>
      <c r="K19" s="2"/>
      <c r="L19" s="2"/>
      <c r="M19" s="2"/>
      <c r="N19" s="2"/>
      <c r="O19" s="2"/>
      <c r="P19" s="2"/>
      <c r="Q19" s="2"/>
      <c r="R19" s="2"/>
    </row>
    <row r="20" spans="1:18" ht="17.25" thickBot="1" x14ac:dyDescent="0.25">
      <c r="A20" s="2381"/>
      <c r="B20" s="2248"/>
      <c r="C20" s="571" t="str">
        <f>F!C67</f>
        <v>&gt;75%, of the herbaceous vegetation.</v>
      </c>
      <c r="D20" s="794">
        <f>F!D67</f>
        <v>0</v>
      </c>
      <c r="E20" s="67">
        <v>5</v>
      </c>
      <c r="F20" s="77">
        <f t="shared" si="1"/>
        <v>0</v>
      </c>
      <c r="G20" s="182"/>
      <c r="H20" s="2267"/>
      <c r="I20" s="2254"/>
      <c r="K20" s="2"/>
      <c r="L20" s="2"/>
      <c r="M20" s="2"/>
      <c r="N20" s="2"/>
      <c r="O20" s="2"/>
      <c r="P20" s="2"/>
      <c r="Q20" s="2"/>
      <c r="R20" s="2"/>
    </row>
    <row r="21" spans="1:18" ht="39" customHeight="1" thickBot="1" x14ac:dyDescent="0.25">
      <c r="A21" s="2377" t="str">
        <f>F!A107</f>
        <v>F17</v>
      </c>
      <c r="B21" s="2344"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53" t="s">
        <v>1120</v>
      </c>
      <c r="I21" s="2252" t="s">
        <v>1121</v>
      </c>
      <c r="K21" s="2"/>
      <c r="L21" s="2"/>
      <c r="M21" s="2"/>
      <c r="N21" s="2"/>
      <c r="O21" s="2"/>
      <c r="P21" s="2"/>
      <c r="Q21" s="2"/>
      <c r="R21" s="2"/>
    </row>
    <row r="22" spans="1:18" ht="38.25" x14ac:dyDescent="0.2">
      <c r="A22" s="2377"/>
      <c r="B22" s="2344"/>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53"/>
      <c r="I22" s="2253"/>
    </row>
    <row r="23" spans="1:18" ht="25.5" x14ac:dyDescent="0.2">
      <c r="A23" s="2377"/>
      <c r="B23" s="2344"/>
      <c r="C23" s="700" t="str">
        <f>F!C109</f>
        <v>Slightly bare ground (5-20% bare between plants) is visible in places, and those areas comprise less than 5% of the unflooded parts of the AA.</v>
      </c>
      <c r="D23" s="558">
        <f>F!D109</f>
        <v>0</v>
      </c>
      <c r="E23" s="76">
        <v>4</v>
      </c>
      <c r="F23" s="76">
        <f>D23*E23</f>
        <v>0</v>
      </c>
      <c r="G23" s="192"/>
      <c r="H23" s="2253"/>
      <c r="I23" s="2253"/>
    </row>
    <row r="24" spans="1:18" ht="25.5" x14ac:dyDescent="0.2">
      <c r="A24" s="2377"/>
      <c r="B24" s="2344"/>
      <c r="C24" s="700" t="str">
        <f>F!C110</f>
        <v xml:space="preserve">Slightly bare ground (5-20% bare between plants) comprises more than 5% of the unflooded parts of the AA, </v>
      </c>
      <c r="D24" s="558">
        <f>F!D110</f>
        <v>0</v>
      </c>
      <c r="E24" s="76">
        <v>2</v>
      </c>
      <c r="F24" s="76">
        <f>D24*E24</f>
        <v>0</v>
      </c>
      <c r="G24" s="192"/>
      <c r="H24" s="2253"/>
      <c r="I24" s="2253"/>
    </row>
    <row r="25" spans="1:18" ht="25.5" x14ac:dyDescent="0.2">
      <c r="A25" s="2377"/>
      <c r="B25" s="2344"/>
      <c r="C25" s="700" t="str">
        <f>F!C111</f>
        <v>Very bare ground (20-50% bare between plants) comprises more than 5% of the unflooded parts of the AA. </v>
      </c>
      <c r="D25" s="558">
        <f>F!D111</f>
        <v>0</v>
      </c>
      <c r="E25" s="79">
        <v>0</v>
      </c>
      <c r="F25" s="76">
        <f>D25*E25</f>
        <v>0</v>
      </c>
      <c r="G25" s="211"/>
      <c r="H25" s="2253"/>
      <c r="I25" s="2253"/>
    </row>
    <row r="26" spans="1:18" ht="26.25" thickBot="1" x14ac:dyDescent="0.25">
      <c r="A26" s="2378"/>
      <c r="B26" s="2345"/>
      <c r="C26" s="696" t="str">
        <f>F!C112</f>
        <v>Not applicable. Surface water (either open or obscured by emergent plants) covers all of the AA all the time.</v>
      </c>
      <c r="D26" s="794">
        <f>F!D112</f>
        <v>0</v>
      </c>
      <c r="E26" s="77"/>
      <c r="F26" s="77"/>
      <c r="G26" s="193"/>
      <c r="H26" s="2254"/>
      <c r="I26" s="2254"/>
    </row>
    <row r="27" spans="1:18" ht="64.5" thickBot="1" x14ac:dyDescent="0.25">
      <c r="A27" s="2262" t="str">
        <f>F!A124</f>
        <v>F20</v>
      </c>
      <c r="B27" s="2256"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332" t="s">
        <v>1122</v>
      </c>
      <c r="I27" s="2252" t="s">
        <v>1123</v>
      </c>
    </row>
    <row r="28" spans="1:18" ht="25.5" x14ac:dyDescent="0.2">
      <c r="A28" s="2262"/>
      <c r="B28" s="2256"/>
      <c r="C28" s="695" t="str">
        <f>F!C125</f>
        <v>Few or none (minimal microtopography; &lt;1% of the land has such features, or entire AA is always water-covered).</v>
      </c>
      <c r="D28" s="401">
        <f>F!D125</f>
        <v>0</v>
      </c>
      <c r="E28" s="76">
        <v>0</v>
      </c>
      <c r="F28" s="76">
        <f>D28*E28</f>
        <v>0</v>
      </c>
      <c r="G28" s="191"/>
      <c r="H28" s="2332"/>
      <c r="I28" s="2253"/>
    </row>
    <row r="29" spans="1:18" x14ac:dyDescent="0.2">
      <c r="A29" s="2262"/>
      <c r="B29" s="2256"/>
      <c r="C29" s="700" t="str">
        <f>F!C126</f>
        <v>Intermediate.</v>
      </c>
      <c r="D29" s="558">
        <f>F!D126</f>
        <v>0</v>
      </c>
      <c r="E29" s="76">
        <v>2</v>
      </c>
      <c r="F29" s="76">
        <f>D29*E29</f>
        <v>0</v>
      </c>
      <c r="G29" s="192"/>
      <c r="H29" s="2332"/>
      <c r="I29" s="2253"/>
    </row>
    <row r="30" spans="1:18" ht="17.25" thickBot="1" x14ac:dyDescent="0.25">
      <c r="A30" s="2263"/>
      <c r="B30" s="2257"/>
      <c r="C30" s="696" t="str">
        <f>F!C127</f>
        <v>Several (extensive micro-topography).</v>
      </c>
      <c r="D30" s="794">
        <f>F!D127</f>
        <v>0</v>
      </c>
      <c r="E30" s="77">
        <v>3</v>
      </c>
      <c r="F30" s="77">
        <f>D30*E30</f>
        <v>0</v>
      </c>
      <c r="G30" s="193"/>
      <c r="H30" s="2333"/>
      <c r="I30" s="2254"/>
    </row>
    <row r="31" spans="1:18" ht="26.25" customHeight="1" thickBot="1" x14ac:dyDescent="0.25">
      <c r="A31" s="2282" t="str">
        <f>F!A135</f>
        <v>F22</v>
      </c>
      <c r="B31" s="2256"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v>
      </c>
      <c r="H31" s="2253" t="s">
        <v>9168</v>
      </c>
      <c r="I31" s="2252" t="s">
        <v>1124</v>
      </c>
    </row>
    <row r="32" spans="1:18" ht="26.25" customHeight="1" x14ac:dyDescent="0.2">
      <c r="A32" s="2282"/>
      <c r="B32" s="2256"/>
      <c r="C32" s="292" t="str">
        <f>F!C143</f>
        <v>None or trace.</v>
      </c>
      <c r="D32" s="797">
        <v>0</v>
      </c>
      <c r="E32" s="75">
        <v>0</v>
      </c>
      <c r="F32" s="78">
        <f>D32*E32</f>
        <v>0</v>
      </c>
      <c r="G32" s="191"/>
      <c r="H32" s="2253"/>
      <c r="I32" s="2253"/>
    </row>
    <row r="33" spans="1:9" x14ac:dyDescent="0.2">
      <c r="A33" s="2282"/>
      <c r="B33" s="2256"/>
      <c r="C33" s="695" t="str">
        <f>F!C137</f>
        <v>1-20% of the AA, or &lt;1% but &gt;0.01 ha.</v>
      </c>
      <c r="D33" s="401">
        <f>F!D137</f>
        <v>0</v>
      </c>
      <c r="E33" s="76">
        <v>1</v>
      </c>
      <c r="F33" s="76">
        <f>D33*E33</f>
        <v>0</v>
      </c>
      <c r="G33" s="191"/>
      <c r="H33" s="2253"/>
      <c r="I33" s="2253"/>
    </row>
    <row r="34" spans="1:9" x14ac:dyDescent="0.2">
      <c r="A34" s="2282"/>
      <c r="B34" s="2256"/>
      <c r="C34" s="700" t="str">
        <f>F!C138</f>
        <v>20-50% of the AA.</v>
      </c>
      <c r="D34" s="558">
        <f>F!D138</f>
        <v>0</v>
      </c>
      <c r="E34" s="76">
        <v>2</v>
      </c>
      <c r="F34" s="76">
        <f>D34*E34</f>
        <v>0</v>
      </c>
      <c r="G34" s="192"/>
      <c r="H34" s="2253"/>
      <c r="I34" s="2253"/>
    </row>
    <row r="35" spans="1:9" x14ac:dyDescent="0.2">
      <c r="A35" s="2282"/>
      <c r="B35" s="2256"/>
      <c r="C35" s="700" t="str">
        <f>F!C139</f>
        <v>50-95% of the AA.</v>
      </c>
      <c r="D35" s="558">
        <f>F!D139</f>
        <v>0</v>
      </c>
      <c r="E35" s="76">
        <v>3</v>
      </c>
      <c r="F35" s="76">
        <f>D35*E35</f>
        <v>0</v>
      </c>
      <c r="G35" s="192"/>
      <c r="H35" s="2253"/>
      <c r="I35" s="2253"/>
    </row>
    <row r="36" spans="1:9" x14ac:dyDescent="0.2">
      <c r="A36" s="2282"/>
      <c r="B36" s="2256"/>
      <c r="C36" s="700" t="str">
        <f>F!C140</f>
        <v xml:space="preserve">&gt;95% of the AA. </v>
      </c>
      <c r="D36" s="558">
        <f>F!D140</f>
        <v>0</v>
      </c>
      <c r="E36" s="76">
        <v>4</v>
      </c>
      <c r="F36" s="76">
        <f>D36*E36</f>
        <v>0</v>
      </c>
      <c r="G36" s="192"/>
      <c r="H36" s="2253"/>
      <c r="I36" s="2253"/>
    </row>
    <row r="37" spans="1:9" ht="90" thickBot="1" x14ac:dyDescent="0.25">
      <c r="A37" s="2282"/>
      <c r="B37" s="2256"/>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53"/>
      <c r="I37" s="2254"/>
    </row>
    <row r="38" spans="1:9" ht="26.25" customHeight="1" thickBot="1" x14ac:dyDescent="0.25">
      <c r="A38" s="2261" t="str">
        <f>F!A168</f>
        <v>F28</v>
      </c>
      <c r="B38" s="2283"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52" t="s">
        <v>1125</v>
      </c>
      <c r="I38" s="2252" t="s">
        <v>1126</v>
      </c>
    </row>
    <row r="39" spans="1:9" x14ac:dyDescent="0.2">
      <c r="A39" s="2284"/>
      <c r="B39" s="2264"/>
      <c r="C39" s="778" t="str">
        <f>F!C169</f>
        <v>&lt;10 cm change (stable or nearly so).</v>
      </c>
      <c r="D39" s="797">
        <f>F!D169</f>
        <v>0</v>
      </c>
      <c r="E39" s="76">
        <v>0</v>
      </c>
      <c r="F39" s="76">
        <f>D39*E39</f>
        <v>0</v>
      </c>
      <c r="G39" s="192"/>
      <c r="H39" s="2253"/>
      <c r="I39" s="2253"/>
    </row>
    <row r="40" spans="1:9" x14ac:dyDescent="0.2">
      <c r="A40" s="2284"/>
      <c r="B40" s="2264"/>
      <c r="C40" s="779" t="str">
        <f>F!C170</f>
        <v>10 cm - 50 cm change.</v>
      </c>
      <c r="D40" s="798">
        <f>F!D170</f>
        <v>0</v>
      </c>
      <c r="E40" s="76">
        <v>2</v>
      </c>
      <c r="F40" s="76">
        <f>D40*E40</f>
        <v>0</v>
      </c>
      <c r="G40" s="192"/>
      <c r="H40" s="2253"/>
      <c r="I40" s="2253"/>
    </row>
    <row r="41" spans="1:9" x14ac:dyDescent="0.2">
      <c r="A41" s="2284"/>
      <c r="B41" s="2264"/>
      <c r="C41" s="779" t="str">
        <f>F!C171</f>
        <v>0.5 - 1 m change.</v>
      </c>
      <c r="D41" s="798">
        <f>F!D171</f>
        <v>0</v>
      </c>
      <c r="E41" s="76">
        <v>3</v>
      </c>
      <c r="F41" s="76">
        <f>D41*E41</f>
        <v>0</v>
      </c>
      <c r="G41" s="192"/>
      <c r="H41" s="2253"/>
      <c r="I41" s="2253"/>
    </row>
    <row r="42" spans="1:9" x14ac:dyDescent="0.2">
      <c r="A42" s="2284"/>
      <c r="B42" s="2264"/>
      <c r="C42" s="779" t="str">
        <f>F!C172</f>
        <v>1-2 m change.</v>
      </c>
      <c r="D42" s="798">
        <f>F!D172</f>
        <v>0</v>
      </c>
      <c r="E42" s="76">
        <v>4</v>
      </c>
      <c r="F42" s="76">
        <f>D42*E42</f>
        <v>0</v>
      </c>
      <c r="G42" s="192"/>
      <c r="H42" s="2253"/>
      <c r="I42" s="2253"/>
    </row>
    <row r="43" spans="1:9" ht="17.25" thickBot="1" x14ac:dyDescent="0.25">
      <c r="A43" s="2285"/>
      <c r="B43" s="2370"/>
      <c r="C43" s="780" t="str">
        <f>F!C173</f>
        <v>&gt;2 m change.</v>
      </c>
      <c r="D43" s="817">
        <f>F!D173</f>
        <v>0</v>
      </c>
      <c r="E43" s="77">
        <v>4</v>
      </c>
      <c r="F43" s="77">
        <f>D43*E43</f>
        <v>0</v>
      </c>
      <c r="G43" s="193"/>
      <c r="H43" s="2254"/>
      <c r="I43" s="2254"/>
    </row>
    <row r="44" spans="1:9" ht="26.25" customHeight="1" thickBot="1" x14ac:dyDescent="0.25">
      <c r="A44" s="2282" t="str">
        <f>F!A175</f>
        <v>F29</v>
      </c>
      <c r="B44" s="2344"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v>
      </c>
      <c r="H44" s="2383" t="s">
        <v>8735</v>
      </c>
      <c r="I44" s="2252" t="s">
        <v>1127</v>
      </c>
    </row>
    <row r="45" spans="1:9" x14ac:dyDescent="0.2">
      <c r="A45" s="2282"/>
      <c r="B45" s="2344"/>
      <c r="C45" s="695" t="str">
        <f>F!C176</f>
        <v>&lt;10 cm deep (but &gt;0).</v>
      </c>
      <c r="D45" s="401">
        <f>F!D176</f>
        <v>0</v>
      </c>
      <c r="E45" s="76">
        <v>0</v>
      </c>
      <c r="F45" s="76">
        <f>D45*E45</f>
        <v>0</v>
      </c>
      <c r="G45" s="191"/>
      <c r="H45" s="2383"/>
      <c r="I45" s="2253"/>
    </row>
    <row r="46" spans="1:9" x14ac:dyDescent="0.2">
      <c r="A46" s="2282"/>
      <c r="B46" s="2344"/>
      <c r="C46" s="700" t="str">
        <f>F!C177</f>
        <v>10 - 50 cm deep.</v>
      </c>
      <c r="D46" s="558">
        <f>F!D177</f>
        <v>0</v>
      </c>
      <c r="E46" s="76">
        <v>1</v>
      </c>
      <c r="F46" s="76">
        <f>D46*E46</f>
        <v>0</v>
      </c>
      <c r="G46" s="192"/>
      <c r="H46" s="2383"/>
      <c r="I46" s="2253"/>
    </row>
    <row r="47" spans="1:9" x14ac:dyDescent="0.2">
      <c r="A47" s="2282"/>
      <c r="B47" s="2344"/>
      <c r="C47" s="700" t="str">
        <f>F!C178</f>
        <v>0.5 - 1 m deep.</v>
      </c>
      <c r="D47" s="558">
        <f>F!D178</f>
        <v>0</v>
      </c>
      <c r="E47" s="76">
        <v>2</v>
      </c>
      <c r="F47" s="76">
        <f>D47*E47</f>
        <v>0</v>
      </c>
      <c r="G47" s="192"/>
      <c r="H47" s="2383"/>
      <c r="I47" s="2253"/>
    </row>
    <row r="48" spans="1:9" x14ac:dyDescent="0.2">
      <c r="A48" s="2282"/>
      <c r="B48" s="2344"/>
      <c r="C48" s="700" t="str">
        <f>F!C179</f>
        <v>1 - 2 m deep.</v>
      </c>
      <c r="D48" s="558">
        <f>F!D179</f>
        <v>0</v>
      </c>
      <c r="E48" s="76">
        <v>4</v>
      </c>
      <c r="F48" s="76">
        <f>D48*E48</f>
        <v>0</v>
      </c>
      <c r="G48" s="192"/>
      <c r="H48" s="2383"/>
      <c r="I48" s="2253"/>
    </row>
    <row r="49" spans="1:9" ht="17.25" thickBot="1" x14ac:dyDescent="0.25">
      <c r="A49" s="2282"/>
      <c r="B49" s="2344"/>
      <c r="C49" s="696" t="str">
        <f>F!C180</f>
        <v>&gt;2 m deep. True for many fringe wetlands.</v>
      </c>
      <c r="D49" s="794">
        <f>F!D180</f>
        <v>0</v>
      </c>
      <c r="E49" s="77">
        <v>6</v>
      </c>
      <c r="F49" s="77">
        <f>D49*E49</f>
        <v>0</v>
      </c>
      <c r="G49" s="193"/>
      <c r="H49" s="2383"/>
      <c r="I49" s="2254"/>
    </row>
    <row r="50" spans="1:9" ht="39" customHeight="1" thickBot="1" x14ac:dyDescent="0.25">
      <c r="A50" s="2261" t="str">
        <f>F!A187</f>
        <v>F31</v>
      </c>
      <c r="B50" s="2283"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v>
      </c>
      <c r="H50" s="2334" t="s">
        <v>1128</v>
      </c>
      <c r="I50" s="2252" t="s">
        <v>1129</v>
      </c>
    </row>
    <row r="51" spans="1:9" ht="25.5" x14ac:dyDescent="0.2">
      <c r="A51" s="2262"/>
      <c r="B51" s="2256"/>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32"/>
      <c r="I51" s="2253"/>
    </row>
    <row r="52" spans="1:9" x14ac:dyDescent="0.2">
      <c r="A52" s="2262"/>
      <c r="B52" s="2256"/>
      <c r="C52" s="700" t="str">
        <f>F!C189</f>
        <v>5-30% of the water.</v>
      </c>
      <c r="D52" s="558">
        <f>F!D189</f>
        <v>0</v>
      </c>
      <c r="E52" s="76">
        <v>2</v>
      </c>
      <c r="F52" s="76">
        <f>D52*E52</f>
        <v>0</v>
      </c>
      <c r="G52" s="192"/>
      <c r="H52" s="2332"/>
      <c r="I52" s="2253"/>
    </row>
    <row r="53" spans="1:9" x14ac:dyDescent="0.2">
      <c r="A53" s="2262"/>
      <c r="B53" s="2256"/>
      <c r="C53" s="700" t="str">
        <f>F!C190</f>
        <v>30-70% of the water.</v>
      </c>
      <c r="D53" s="558">
        <f>F!D190</f>
        <v>0</v>
      </c>
      <c r="E53" s="76">
        <v>3</v>
      </c>
      <c r="F53" s="76">
        <f>D53*E53</f>
        <v>0</v>
      </c>
      <c r="G53" s="211"/>
      <c r="H53" s="2332"/>
      <c r="I53" s="2253"/>
    </row>
    <row r="54" spans="1:9" x14ac:dyDescent="0.2">
      <c r="A54" s="2262"/>
      <c r="B54" s="2256"/>
      <c r="C54" s="700" t="str">
        <f>F!C191</f>
        <v>70-95% of the water.</v>
      </c>
      <c r="D54" s="558">
        <f>F!D191</f>
        <v>0</v>
      </c>
      <c r="E54" s="76">
        <v>4</v>
      </c>
      <c r="F54" s="76">
        <f>D54*E54</f>
        <v>0</v>
      </c>
      <c r="G54" s="211"/>
      <c r="H54" s="2332"/>
      <c r="I54" s="2253"/>
    </row>
    <row r="55" spans="1:9" ht="17.25" thickBot="1" x14ac:dyDescent="0.25">
      <c r="A55" s="2263"/>
      <c r="B55" s="2257"/>
      <c r="C55" s="696" t="str">
        <f>F!C192</f>
        <v>&gt;95% of the water. Includes but not limited to wetlands with no outlets (F42).</v>
      </c>
      <c r="D55" s="794">
        <f>F!D192</f>
        <v>0</v>
      </c>
      <c r="E55" s="77">
        <v>6</v>
      </c>
      <c r="F55" s="77">
        <f>D55*E55</f>
        <v>0</v>
      </c>
      <c r="G55" s="193"/>
      <c r="H55" s="2333"/>
      <c r="I55" s="2254"/>
    </row>
    <row r="56" spans="1:9" ht="26.25" customHeight="1" thickBot="1" x14ac:dyDescent="0.25">
      <c r="A56" s="2265" t="str">
        <f>F!A195</f>
        <v>F33</v>
      </c>
      <c r="B56" s="2255"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v>
      </c>
      <c r="H56" s="2252" t="s">
        <v>1130</v>
      </c>
      <c r="I56" s="2252" t="s">
        <v>1131</v>
      </c>
    </row>
    <row r="57" spans="1:9" ht="25.5" x14ac:dyDescent="0.2">
      <c r="A57" s="2262"/>
      <c r="B57" s="2256"/>
      <c r="C57" s="695" t="str">
        <f>F!C196</f>
        <v>None, or &lt;1% of the AA and largest pool occupies &lt;0.01 hectares. Enter "1" and SKIP to F38 (Floating Algae &amp; Duckweed).</v>
      </c>
      <c r="D57" s="401">
        <f>F!D196</f>
        <v>0</v>
      </c>
      <c r="E57" s="76">
        <v>5</v>
      </c>
      <c r="F57" s="76">
        <f t="shared" ref="F57:F62" si="2">D57*E57</f>
        <v>0</v>
      </c>
      <c r="G57" s="191"/>
      <c r="H57" s="2253"/>
      <c r="I57" s="2253"/>
    </row>
    <row r="58" spans="1:9" x14ac:dyDescent="0.2">
      <c r="A58" s="2262"/>
      <c r="B58" s="2256"/>
      <c r="C58" s="700" t="str">
        <f>F!C197</f>
        <v>1-4% of the ponded water. Enter "1" and SKIP to F38 (Floating Algae &amp; Duckweed).</v>
      </c>
      <c r="D58" s="558">
        <f>F!D197</f>
        <v>0</v>
      </c>
      <c r="E58" s="76">
        <v>4</v>
      </c>
      <c r="F58" s="76">
        <f t="shared" si="2"/>
        <v>0</v>
      </c>
      <c r="G58" s="192"/>
      <c r="H58" s="2253"/>
      <c r="I58" s="2253"/>
    </row>
    <row r="59" spans="1:9" x14ac:dyDescent="0.2">
      <c r="A59" s="2262"/>
      <c r="B59" s="2256"/>
      <c r="C59" s="700" t="str">
        <f>F!C198</f>
        <v>5-30% of the ponded water.</v>
      </c>
      <c r="D59" s="558">
        <f>F!D198</f>
        <v>0</v>
      </c>
      <c r="E59" s="76">
        <v>3</v>
      </c>
      <c r="F59" s="76">
        <f t="shared" si="2"/>
        <v>0</v>
      </c>
      <c r="G59" s="192"/>
      <c r="H59" s="2253"/>
      <c r="I59" s="2253"/>
    </row>
    <row r="60" spans="1:9" x14ac:dyDescent="0.2">
      <c r="A60" s="2262"/>
      <c r="B60" s="2256"/>
      <c r="C60" s="700" t="str">
        <f>F!C199</f>
        <v>30-70% of the ponded water.</v>
      </c>
      <c r="D60" s="558">
        <f>F!D199</f>
        <v>0</v>
      </c>
      <c r="E60" s="76">
        <v>2</v>
      </c>
      <c r="F60" s="76">
        <f t="shared" si="2"/>
        <v>0</v>
      </c>
      <c r="G60" s="192"/>
      <c r="H60" s="2253"/>
      <c r="I60" s="2253"/>
    </row>
    <row r="61" spans="1:9" x14ac:dyDescent="0.2">
      <c r="A61" s="2262"/>
      <c r="B61" s="2256"/>
      <c r="C61" s="700" t="str">
        <f>F!C200</f>
        <v>70-99% of the ponded water.</v>
      </c>
      <c r="D61" s="558">
        <f>F!D200</f>
        <v>0</v>
      </c>
      <c r="E61" s="76">
        <v>1</v>
      </c>
      <c r="F61" s="76">
        <f t="shared" si="2"/>
        <v>0</v>
      </c>
      <c r="G61" s="192"/>
      <c r="H61" s="2253"/>
      <c r="I61" s="2253"/>
    </row>
    <row r="62" spans="1:9" ht="17.25" thickBot="1" x14ac:dyDescent="0.25">
      <c r="A62" s="2263"/>
      <c r="B62" s="2257"/>
      <c r="C62" s="696" t="str">
        <f>F!C201</f>
        <v xml:space="preserve">100% of the ponded water. </v>
      </c>
      <c r="D62" s="794">
        <f>F!D201</f>
        <v>0</v>
      </c>
      <c r="E62" s="77">
        <v>0</v>
      </c>
      <c r="F62" s="77">
        <f t="shared" si="2"/>
        <v>0</v>
      </c>
      <c r="G62" s="193"/>
      <c r="H62" s="2254"/>
      <c r="I62" s="2254"/>
    </row>
    <row r="63" spans="1:9" ht="39" customHeight="1" thickBot="1" x14ac:dyDescent="0.25">
      <c r="A63" s="2371" t="str">
        <f>F!A202</f>
        <v>F34</v>
      </c>
      <c r="B63" s="2374"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v>
      </c>
      <c r="H63" s="2252" t="s">
        <v>1132</v>
      </c>
      <c r="I63" s="2252" t="s">
        <v>1133</v>
      </c>
    </row>
    <row r="64" spans="1:9" x14ac:dyDescent="0.2">
      <c r="A64" s="2372"/>
      <c r="B64" s="2375"/>
      <c r="C64" s="695" t="str">
        <f>F!C203</f>
        <v>&lt;1 m.</v>
      </c>
      <c r="D64" s="401">
        <f>F!D203</f>
        <v>0</v>
      </c>
      <c r="E64" s="76">
        <v>0</v>
      </c>
      <c r="F64" s="76">
        <f t="shared" ref="F64:F69" si="3">D64*E64</f>
        <v>0</v>
      </c>
      <c r="G64" s="191"/>
      <c r="H64" s="2253"/>
      <c r="I64" s="2253"/>
    </row>
    <row r="65" spans="1:9" x14ac:dyDescent="0.2">
      <c r="A65" s="2372"/>
      <c r="B65" s="2375"/>
      <c r="C65" s="695" t="str">
        <f>F!C204</f>
        <v>1 - 9 m.</v>
      </c>
      <c r="D65" s="401">
        <f>F!D204</f>
        <v>0</v>
      </c>
      <c r="E65" s="76">
        <v>2</v>
      </c>
      <c r="F65" s="76">
        <f t="shared" si="3"/>
        <v>0</v>
      </c>
      <c r="G65" s="192"/>
      <c r="H65" s="2253"/>
      <c r="I65" s="2253"/>
    </row>
    <row r="66" spans="1:9" x14ac:dyDescent="0.2">
      <c r="A66" s="2372"/>
      <c r="B66" s="2375"/>
      <c r="C66" s="695" t="str">
        <f>F!C205</f>
        <v>10 - 29 m.</v>
      </c>
      <c r="D66" s="401">
        <f>F!D205</f>
        <v>0</v>
      </c>
      <c r="E66" s="76">
        <v>3</v>
      </c>
      <c r="F66" s="76">
        <f t="shared" si="3"/>
        <v>0</v>
      </c>
      <c r="G66" s="192"/>
      <c r="H66" s="2253"/>
      <c r="I66" s="2253"/>
    </row>
    <row r="67" spans="1:9" x14ac:dyDescent="0.2">
      <c r="A67" s="2372"/>
      <c r="B67" s="2375"/>
      <c r="C67" s="695" t="str">
        <f>F!C206</f>
        <v>30 - 49 m.</v>
      </c>
      <c r="D67" s="401">
        <f>F!D206</f>
        <v>0</v>
      </c>
      <c r="E67" s="76">
        <v>4</v>
      </c>
      <c r="F67" s="76">
        <f t="shared" si="3"/>
        <v>0</v>
      </c>
      <c r="G67" s="192"/>
      <c r="H67" s="2253"/>
      <c r="I67" s="2253"/>
    </row>
    <row r="68" spans="1:9" x14ac:dyDescent="0.2">
      <c r="A68" s="2372"/>
      <c r="B68" s="2375"/>
      <c r="C68" s="695" t="str">
        <f>F!C207</f>
        <v>50 - 100 m.</v>
      </c>
      <c r="D68" s="401">
        <f>F!D207</f>
        <v>0</v>
      </c>
      <c r="E68" s="76">
        <v>5</v>
      </c>
      <c r="F68" s="76">
        <f t="shared" si="3"/>
        <v>0</v>
      </c>
      <c r="G68" s="192"/>
      <c r="H68" s="2253"/>
      <c r="I68" s="2253"/>
    </row>
    <row r="69" spans="1:9" ht="17.25" thickBot="1" x14ac:dyDescent="0.25">
      <c r="A69" s="2373"/>
      <c r="B69" s="2376"/>
      <c r="C69" s="697" t="str">
        <f>F!C208</f>
        <v>&gt; 100 m, or open water is absent at that time.</v>
      </c>
      <c r="D69" s="480">
        <f>F!D208</f>
        <v>0</v>
      </c>
      <c r="E69" s="77">
        <v>7</v>
      </c>
      <c r="F69" s="77">
        <f t="shared" si="3"/>
        <v>0</v>
      </c>
      <c r="G69" s="193"/>
      <c r="H69" s="2254"/>
      <c r="I69" s="2254"/>
    </row>
    <row r="70" spans="1:9" ht="39" customHeight="1" thickBot="1" x14ac:dyDescent="0.25">
      <c r="A70" s="2262" t="str">
        <f>F!A210</f>
        <v>F35</v>
      </c>
      <c r="B70" s="2256"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v>
      </c>
      <c r="H70" s="2253" t="s">
        <v>1134</v>
      </c>
      <c r="I70" s="2253" t="s">
        <v>1135</v>
      </c>
    </row>
    <row r="71" spans="1:9" x14ac:dyDescent="0.2">
      <c r="A71" s="2262"/>
      <c r="B71" s="2256"/>
      <c r="C71" s="695" t="str">
        <f>F!C211</f>
        <v>&lt;1% of the water edge.</v>
      </c>
      <c r="D71" s="401">
        <f>F!D211</f>
        <v>0</v>
      </c>
      <c r="E71" s="76">
        <v>0</v>
      </c>
      <c r="F71" s="79">
        <f>D71*E71</f>
        <v>0</v>
      </c>
      <c r="G71" s="192"/>
      <c r="H71" s="2253"/>
      <c r="I71" s="2253"/>
    </row>
    <row r="72" spans="1:9" x14ac:dyDescent="0.2">
      <c r="A72" s="2262"/>
      <c r="B72" s="2256"/>
      <c r="C72" s="700" t="str">
        <f>F!C212</f>
        <v>1-25% of the water edge.</v>
      </c>
      <c r="D72" s="558">
        <f>F!D212</f>
        <v>0</v>
      </c>
      <c r="E72" s="76">
        <v>1</v>
      </c>
      <c r="F72" s="79">
        <f>D72*E72</f>
        <v>0</v>
      </c>
      <c r="G72" s="192"/>
      <c r="H72" s="2253"/>
      <c r="I72" s="2253"/>
    </row>
    <row r="73" spans="1:9" x14ac:dyDescent="0.2">
      <c r="A73" s="2262"/>
      <c r="B73" s="2256"/>
      <c r="C73" s="700" t="str">
        <f>F!C213</f>
        <v>25-50% of the water edge.</v>
      </c>
      <c r="D73" s="558">
        <f>F!D213</f>
        <v>0</v>
      </c>
      <c r="E73" s="76">
        <v>2</v>
      </c>
      <c r="F73" s="79">
        <f>D73*E73</f>
        <v>0</v>
      </c>
      <c r="G73" s="192"/>
      <c r="H73" s="2253"/>
      <c r="I73" s="2253"/>
    </row>
    <row r="74" spans="1:9" x14ac:dyDescent="0.2">
      <c r="A74" s="2262"/>
      <c r="B74" s="2256"/>
      <c r="C74" s="700" t="str">
        <f>F!C214</f>
        <v>50-75% of the water edge.</v>
      </c>
      <c r="D74" s="558">
        <f>F!D214</f>
        <v>0</v>
      </c>
      <c r="E74" s="76">
        <v>3</v>
      </c>
      <c r="F74" s="79">
        <f>D74*E74</f>
        <v>0</v>
      </c>
      <c r="G74" s="192"/>
      <c r="H74" s="2253"/>
      <c r="I74" s="2253"/>
    </row>
    <row r="75" spans="1:9" ht="17.25" thickBot="1" x14ac:dyDescent="0.25">
      <c r="A75" s="2263"/>
      <c r="B75" s="2257"/>
      <c r="C75" s="696" t="str">
        <f>F!C215</f>
        <v>&gt;75% of the water edge.</v>
      </c>
      <c r="D75" s="794">
        <f>F!D215</f>
        <v>0</v>
      </c>
      <c r="E75" s="77">
        <v>4</v>
      </c>
      <c r="F75" s="77">
        <f>D75*E75</f>
        <v>0</v>
      </c>
      <c r="G75" s="193"/>
      <c r="H75" s="2254"/>
      <c r="I75" s="2254"/>
    </row>
    <row r="76" spans="1:9" ht="26.25" customHeight="1" thickBot="1" x14ac:dyDescent="0.25">
      <c r="A76" s="2261" t="str">
        <f>F!A217</f>
        <v>F36</v>
      </c>
      <c r="B76" s="2283"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52" t="s">
        <v>1136</v>
      </c>
      <c r="I76" s="2252" t="s">
        <v>1137</v>
      </c>
    </row>
    <row r="77" spans="1:9" ht="25.5" x14ac:dyDescent="0.2">
      <c r="A77" s="2284"/>
      <c r="B77" s="2264"/>
      <c r="C77" s="778" t="str">
        <f>F!C218</f>
        <v>Scattered. More than 30% of such vegetation forms small islands or corridors surrounded by water.</v>
      </c>
      <c r="D77" s="797">
        <f>F!D218</f>
        <v>0</v>
      </c>
      <c r="E77" s="76">
        <v>3</v>
      </c>
      <c r="F77" s="76">
        <f>D77*E77</f>
        <v>0</v>
      </c>
      <c r="G77" s="192"/>
      <c r="H77" s="2253"/>
      <c r="I77" s="2253"/>
    </row>
    <row r="78" spans="1:9" x14ac:dyDescent="0.2">
      <c r="A78" s="2284"/>
      <c r="B78" s="2264"/>
      <c r="C78" s="779" t="str">
        <f>F!C219</f>
        <v>Intermediate.</v>
      </c>
      <c r="D78" s="798">
        <f>F!D219</f>
        <v>0</v>
      </c>
      <c r="E78" s="76">
        <v>2</v>
      </c>
      <c r="F78" s="76">
        <f>D78*E78</f>
        <v>0</v>
      </c>
      <c r="G78" s="192"/>
      <c r="H78" s="2253"/>
      <c r="I78" s="2253"/>
    </row>
    <row r="79" spans="1:9" ht="26.25" thickBot="1" x14ac:dyDescent="0.25">
      <c r="A79" s="2285"/>
      <c r="B79" s="2370"/>
      <c r="C79" s="780" t="str">
        <f>F!C220</f>
        <v>Clumped. More than 70% of such vegetation is in bands along the wetland perimeter or is clumped at one or a few sides of the surface water area.</v>
      </c>
      <c r="D79" s="817">
        <f>F!D220</f>
        <v>0</v>
      </c>
      <c r="E79" s="77">
        <v>0</v>
      </c>
      <c r="F79" s="77">
        <f>D79*E79</f>
        <v>0</v>
      </c>
      <c r="G79" s="193"/>
      <c r="H79" s="2254"/>
      <c r="I79" s="2254"/>
    </row>
    <row r="80" spans="1:9" ht="64.5" thickBot="1" x14ac:dyDescent="0.25">
      <c r="A80" s="2265" t="str">
        <f>F!A232</f>
        <v>F43</v>
      </c>
      <c r="B80" s="2343"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52" t="s">
        <v>8606</v>
      </c>
      <c r="I80" s="2252" t="s">
        <v>1138</v>
      </c>
    </row>
    <row r="81" spans="1:10" x14ac:dyDescent="0.2">
      <c r="A81" s="2262"/>
      <c r="B81" s="2344"/>
      <c r="C81" s="695" t="str">
        <f>F!C233</f>
        <v>Persistent (surface water flows out for &gt;9 months/year).</v>
      </c>
      <c r="D81" s="401">
        <f>F!D233</f>
        <v>0</v>
      </c>
      <c r="E81" s="76">
        <v>0</v>
      </c>
      <c r="F81" s="76">
        <f>D81*E81</f>
        <v>0</v>
      </c>
      <c r="G81" s="191"/>
      <c r="H81" s="2253"/>
      <c r="I81" s="2253"/>
    </row>
    <row r="82" spans="1:10" ht="25.5" x14ac:dyDescent="0.2">
      <c r="A82" s="2262"/>
      <c r="B82" s="2344"/>
      <c r="C82" s="700" t="str">
        <f>F!C234</f>
        <v>Seasonal (surface water flows out for 14 days to 9 months/year, not necessarily consecutive).</v>
      </c>
      <c r="D82" s="558">
        <f>F!D234</f>
        <v>0</v>
      </c>
      <c r="E82" s="76">
        <v>1</v>
      </c>
      <c r="F82" s="76">
        <f>D82*E82</f>
        <v>0</v>
      </c>
      <c r="G82" s="192"/>
      <c r="H82" s="2253"/>
      <c r="I82" s="2253"/>
    </row>
    <row r="83" spans="1:10" x14ac:dyDescent="0.2">
      <c r="A83" s="2262"/>
      <c r="B83" s="2344"/>
      <c r="C83" s="700" t="str">
        <f>F!C235</f>
        <v>Temporary (surface water flows out for &lt;14 days, not necessarily consecutive).</v>
      </c>
      <c r="D83" s="558">
        <f>F!D235</f>
        <v>0</v>
      </c>
      <c r="E83" s="76">
        <v>2</v>
      </c>
      <c r="F83" s="76">
        <f>D83*E83</f>
        <v>0</v>
      </c>
      <c r="G83" s="192"/>
      <c r="H83" s="2253"/>
      <c r="I83" s="2253"/>
    </row>
    <row r="84" spans="1:10" ht="51" x14ac:dyDescent="0.2">
      <c r="A84" s="2262"/>
      <c r="B84" s="2344"/>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53"/>
      <c r="I84" s="2253"/>
    </row>
    <row r="85" spans="1:10" ht="39" thickBot="1" x14ac:dyDescent="0.25">
      <c r="A85" s="2263"/>
      <c r="B85" s="2345"/>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54"/>
      <c r="I85" s="2254"/>
    </row>
    <row r="86" spans="1:10" ht="26.25" customHeight="1" thickBot="1" x14ac:dyDescent="0.25">
      <c r="A86" s="2265" t="str">
        <f>F!A239</f>
        <v>F44</v>
      </c>
      <c r="B86" s="2255"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34" t="s">
        <v>8621</v>
      </c>
      <c r="I86" s="2252" t="s">
        <v>1139</v>
      </c>
    </row>
    <row r="87" spans="1:10" ht="38.25" x14ac:dyDescent="0.2">
      <c r="A87" s="2262"/>
      <c r="B87" s="2256"/>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32"/>
      <c r="I87" s="2253"/>
    </row>
    <row r="88" spans="1:10" ht="25.5" x14ac:dyDescent="0.2">
      <c r="A88" s="2262"/>
      <c r="B88" s="2256"/>
      <c r="C88" s="700" t="str">
        <f>F!C241</f>
        <v>Leaves through natural exits (channels or diffuse outflow), not mainly through artificial or temporary features.</v>
      </c>
      <c r="D88" s="558">
        <f>F!D241</f>
        <v>0</v>
      </c>
      <c r="E88" s="76">
        <v>2</v>
      </c>
      <c r="F88" s="76">
        <f>D88*E88</f>
        <v>0</v>
      </c>
      <c r="G88" s="238"/>
      <c r="H88" s="2332"/>
      <c r="I88" s="2253"/>
    </row>
    <row r="89" spans="1:10" ht="39" thickBot="1" x14ac:dyDescent="0.25">
      <c r="A89" s="2263"/>
      <c r="B89" s="2257"/>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33"/>
      <c r="I89" s="2254"/>
    </row>
    <row r="90" spans="1:10" ht="31.5" customHeight="1" thickBot="1" x14ac:dyDescent="0.25">
      <c r="A90" s="2382" t="str">
        <f>F!A244</f>
        <v>F45</v>
      </c>
      <c r="B90" s="2255"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52" t="s">
        <v>8765</v>
      </c>
      <c r="I90" s="2252" t="s">
        <v>1140</v>
      </c>
    </row>
    <row r="91" spans="1:10" ht="42" customHeight="1" x14ac:dyDescent="0.2">
      <c r="A91" s="2282"/>
      <c r="B91" s="2256"/>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53"/>
      <c r="I91" s="2253"/>
    </row>
    <row r="92" spans="1:10" x14ac:dyDescent="0.2">
      <c r="A92" s="2282"/>
      <c r="B92" s="2256"/>
      <c r="C92" s="700" t="str">
        <f>F!C246</f>
        <v>Bumps into herbaceous vegetation but mostly remains in fairly straight channels.</v>
      </c>
      <c r="D92" s="558">
        <f>F!D246</f>
        <v>0</v>
      </c>
      <c r="E92" s="76">
        <v>3</v>
      </c>
      <c r="F92" s="76">
        <f>D92*E92</f>
        <v>0</v>
      </c>
      <c r="G92" s="192"/>
      <c r="H92" s="2253"/>
      <c r="I92" s="2253"/>
    </row>
    <row r="93" spans="1:10" ht="25.5" x14ac:dyDescent="0.2">
      <c r="A93" s="2282"/>
      <c r="B93" s="2256"/>
      <c r="C93" s="700" t="str">
        <f>F!C247</f>
        <v>Bumps into herbaceous vegetation and mostly spreads throughout, or is in widely meandering, multi-branched, or braided channels.</v>
      </c>
      <c r="D93" s="558">
        <f>F!D247</f>
        <v>0</v>
      </c>
      <c r="E93" s="76">
        <v>6</v>
      </c>
      <c r="F93" s="76">
        <f>D93*E93</f>
        <v>0</v>
      </c>
      <c r="G93" s="192"/>
      <c r="H93" s="2253"/>
      <c r="I93" s="2253"/>
    </row>
    <row r="94" spans="1:10" x14ac:dyDescent="0.2">
      <c r="A94" s="2282"/>
      <c r="B94" s="2256"/>
      <c r="C94" s="700" t="str">
        <f>F!C248</f>
        <v>Bumps into tree trunks and/or shrub stems but mostly remains in fairly straight channels.</v>
      </c>
      <c r="D94" s="558">
        <f>F!D248</f>
        <v>0</v>
      </c>
      <c r="E94" s="76">
        <v>4</v>
      </c>
      <c r="F94" s="76">
        <f>D94*E94</f>
        <v>0</v>
      </c>
      <c r="G94" s="192"/>
      <c r="H94" s="2253"/>
      <c r="I94" s="2253"/>
    </row>
    <row r="95" spans="1:10" s="2" customFormat="1" ht="26.25" thickBot="1" x14ac:dyDescent="0.25">
      <c r="A95" s="2282"/>
      <c r="B95" s="2256"/>
      <c r="C95" s="698" t="str">
        <f>F!C249</f>
        <v>Bumps into tree trunks and/or shrub stems and follows a fairly indirect path from entrance to exit (meandering, multi-branched, or braided).</v>
      </c>
      <c r="D95" s="557">
        <f>F!D249</f>
        <v>0</v>
      </c>
      <c r="E95" s="79">
        <v>8</v>
      </c>
      <c r="F95" s="79">
        <f>D95*E95</f>
        <v>0</v>
      </c>
      <c r="G95" s="211"/>
      <c r="H95" s="2253"/>
      <c r="I95" s="2254"/>
      <c r="J95" s="50"/>
    </row>
    <row r="96" spans="1:10" s="2" customFormat="1" ht="17.25" customHeight="1" thickBot="1" x14ac:dyDescent="0.25">
      <c r="A96" s="2265" t="str">
        <f>F!A260</f>
        <v>F49</v>
      </c>
      <c r="B96" s="2255" t="str">
        <f>F!B260</f>
        <v>Internal Gradient [WS, SR, PR, NR, OE, WBF, WBN]</v>
      </c>
      <c r="C96" s="701" t="str">
        <f>F!C260</f>
        <v>The gradient along most of the flow path within the AA is:</v>
      </c>
      <c r="D96" s="574"/>
      <c r="E96" s="80"/>
      <c r="F96" s="81"/>
      <c r="G96" s="165">
        <f>MAX(F97:F100)/MAX(E97:E100)</f>
        <v>0</v>
      </c>
      <c r="H96" s="2334" t="s">
        <v>1141</v>
      </c>
      <c r="I96" s="2252" t="s">
        <v>1142</v>
      </c>
      <c r="J96" s="50"/>
    </row>
    <row r="97" spans="1:10" s="2" customFormat="1" x14ac:dyDescent="0.2">
      <c r="A97" s="2262"/>
      <c r="B97" s="2256"/>
      <c r="C97" s="699" t="str">
        <f>F!C261</f>
        <v>&lt;2% or the AA has no surface water outlet (not even seasonally).</v>
      </c>
      <c r="D97" s="401">
        <f>F!D261</f>
        <v>0</v>
      </c>
      <c r="E97" s="76">
        <v>4</v>
      </c>
      <c r="F97" s="76">
        <f>D97*E97</f>
        <v>0</v>
      </c>
      <c r="G97" s="191"/>
      <c r="H97" s="2332"/>
      <c r="I97" s="2253"/>
      <c r="J97" s="50"/>
    </row>
    <row r="98" spans="1:10" s="2" customFormat="1" x14ac:dyDescent="0.2">
      <c r="A98" s="2262"/>
      <c r="B98" s="2256"/>
      <c r="C98" s="700" t="str">
        <f>F!C262</f>
        <v>2-5%.</v>
      </c>
      <c r="D98" s="558">
        <f>F!D262</f>
        <v>0</v>
      </c>
      <c r="E98" s="76">
        <v>2</v>
      </c>
      <c r="F98" s="76">
        <f>D98*E98</f>
        <v>0</v>
      </c>
      <c r="G98" s="192"/>
      <c r="H98" s="2332"/>
      <c r="I98" s="2253"/>
      <c r="J98" s="50"/>
    </row>
    <row r="99" spans="1:10" s="2" customFormat="1" x14ac:dyDescent="0.2">
      <c r="A99" s="2262"/>
      <c r="B99" s="2256"/>
      <c r="C99" s="700" t="str">
        <f>F!C263</f>
        <v>6-10%.</v>
      </c>
      <c r="D99" s="558">
        <f>F!D263</f>
        <v>0</v>
      </c>
      <c r="E99" s="76">
        <v>1</v>
      </c>
      <c r="F99" s="76">
        <f>D99*E99</f>
        <v>0</v>
      </c>
      <c r="G99" s="192"/>
      <c r="H99" s="2332"/>
      <c r="I99" s="2253"/>
      <c r="J99" s="50"/>
    </row>
    <row r="100" spans="1:10" ht="17.25" thickBot="1" x14ac:dyDescent="0.25">
      <c r="A100" s="2263"/>
      <c r="B100" s="2257"/>
      <c r="C100" s="696" t="str">
        <f>F!C264</f>
        <v>&gt;10%.</v>
      </c>
      <c r="D100" s="794">
        <f>F!D264</f>
        <v>0</v>
      </c>
      <c r="E100" s="77">
        <v>0</v>
      </c>
      <c r="F100" s="77">
        <f>D100*E100</f>
        <v>0</v>
      </c>
      <c r="G100" s="193"/>
      <c r="H100" s="2333"/>
      <c r="I100" s="2254"/>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v>
      </c>
      <c r="E103" s="158"/>
      <c r="F103" s="161"/>
      <c r="G103" s="347">
        <f>1-D103</f>
        <v>1</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9005</v>
      </c>
      <c r="I104" s="27" t="s">
        <v>9006</v>
      </c>
    </row>
    <row r="105" spans="1:10" ht="39" customHeight="1" thickBot="1" x14ac:dyDescent="0.25">
      <c r="A105" s="2259" t="str">
        <f>OF!A111</f>
        <v>OF20</v>
      </c>
      <c r="B105" s="2256"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1</v>
      </c>
      <c r="H105" s="2253" t="s">
        <v>1146</v>
      </c>
      <c r="I105" s="2253" t="s">
        <v>1147</v>
      </c>
    </row>
    <row r="106" spans="1:10" x14ac:dyDescent="0.2">
      <c r="A106" s="2259"/>
      <c r="B106" s="2256"/>
      <c r="C106" s="302" t="str">
        <f>OF!C112</f>
        <v>The condition is present within the AA.</v>
      </c>
      <c r="D106" s="401">
        <f>OF!D112</f>
        <v>0</v>
      </c>
      <c r="E106" s="76"/>
      <c r="F106" s="94"/>
      <c r="G106" s="192"/>
      <c r="H106" s="2253"/>
      <c r="I106" s="2253"/>
    </row>
    <row r="107" spans="1:10" ht="25.5" x14ac:dyDescent="0.2">
      <c r="A107" s="2259"/>
      <c r="B107" s="2256"/>
      <c r="C107" s="303" t="str">
        <f>OF!C113</f>
        <v>The condition is present in waters within 1 km that flow into the AA, but has not been documented in the AA itself.</v>
      </c>
      <c r="D107" s="558">
        <f>OF!D113</f>
        <v>0</v>
      </c>
      <c r="E107" s="76"/>
      <c r="F107" s="94"/>
      <c r="G107" s="192"/>
      <c r="H107" s="2253"/>
      <c r="I107" s="2253"/>
    </row>
    <row r="108" spans="1:10" ht="25.5" x14ac:dyDescent="0.2">
      <c r="A108" s="2259"/>
      <c r="B108" s="2256"/>
      <c r="C108" s="303" t="str">
        <f>OF!C114</f>
        <v>Sampling during both low water periods and times with high runoff (storms, snowmelt) indicates no problems in either the AA or inflowing waters.</v>
      </c>
      <c r="D108" s="558">
        <f>OF!D114</f>
        <v>0</v>
      </c>
      <c r="E108" s="76"/>
      <c r="F108" s="94"/>
      <c r="G108" s="192"/>
      <c r="H108" s="2253"/>
      <c r="I108" s="2253"/>
    </row>
    <row r="109" spans="1:10" ht="26.25" thickBot="1" x14ac:dyDescent="0.25">
      <c r="A109" s="2260"/>
      <c r="B109" s="2257"/>
      <c r="C109" s="571" t="str">
        <f>OF!C115</f>
        <v>Data are insufficient (no or inadequate sampling within 1 km, or condition exists only at &gt;1 km upstream). This is the situation for nearly all wetlands in this region.</v>
      </c>
      <c r="D109" s="794">
        <f>OF!D115</f>
        <v>0</v>
      </c>
      <c r="E109" s="77"/>
      <c r="F109" s="98"/>
      <c r="G109" s="193"/>
      <c r="H109" s="2254"/>
      <c r="I109" s="2254"/>
    </row>
    <row r="110" spans="1:10" ht="17.25" customHeight="1" thickBot="1" x14ac:dyDescent="0.25">
      <c r="A110" s="2346" t="str">
        <f>OF!A116</f>
        <v>OF21</v>
      </c>
      <c r="B110" s="2256" t="str">
        <f>OF!B116</f>
        <v>Degraded Water Downstream [SRb, PRb, NRb]</v>
      </c>
      <c r="C110" s="697" t="str">
        <f>OF!C116</f>
        <v>The problem described above is downslope from the AA, and:</v>
      </c>
      <c r="D110" s="556"/>
      <c r="E110" s="75"/>
      <c r="F110" s="78"/>
      <c r="G110" s="183">
        <f>IF((D114=1),"", IF((D113=1),0, IF((D112=1),0.5, 1)))</f>
        <v>1</v>
      </c>
      <c r="H110" s="2253" t="s">
        <v>1148</v>
      </c>
      <c r="I110" s="2252" t="s">
        <v>1149</v>
      </c>
    </row>
    <row r="111" spans="1:10" x14ac:dyDescent="0.2">
      <c r="A111" s="2346"/>
      <c r="B111" s="2256"/>
      <c r="C111" s="695" t="str">
        <f>OF!C117</f>
        <v>The condition is present within 1 km downslope and connected to the AA by a channel.</v>
      </c>
      <c r="D111" s="401">
        <f>OF!D117</f>
        <v>0</v>
      </c>
      <c r="E111" s="76"/>
      <c r="F111" s="76"/>
      <c r="G111" s="191"/>
      <c r="H111" s="2253"/>
      <c r="I111" s="2253"/>
    </row>
    <row r="112" spans="1:10" ht="25.5" x14ac:dyDescent="0.2">
      <c r="A112" s="2346"/>
      <c r="B112" s="2256"/>
      <c r="C112" s="695" t="str">
        <f>OF!C118</f>
        <v>The condition is present within 5 km downslope and connected to the AA by a channel, or within 1 km but not connected to the AA by a channel.</v>
      </c>
      <c r="D112" s="401">
        <f>OF!D118</f>
        <v>0</v>
      </c>
      <c r="E112" s="76"/>
      <c r="F112" s="76"/>
      <c r="G112" s="192"/>
      <c r="H112" s="2253"/>
      <c r="I112" s="2253"/>
    </row>
    <row r="113" spans="1:9" ht="25.5" x14ac:dyDescent="0.2">
      <c r="A113" s="2346"/>
      <c r="B113" s="2256"/>
      <c r="C113" s="695" t="str">
        <f>OF!C119</f>
        <v>Sampling during both low water periods and times with high runoff (storms, snowmelt) indicates no problems in either the AA or inflowing waters.</v>
      </c>
      <c r="D113" s="401">
        <f>OF!D119</f>
        <v>0</v>
      </c>
      <c r="E113" s="76"/>
      <c r="F113" s="76"/>
      <c r="G113" s="192"/>
      <c r="H113" s="2253"/>
      <c r="I113" s="2253"/>
    </row>
    <row r="114" spans="1:9" ht="39" thickBot="1" x14ac:dyDescent="0.25">
      <c r="A114" s="2346"/>
      <c r="B114" s="2256"/>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53"/>
      <c r="I114" s="2254"/>
    </row>
    <row r="115" spans="1:9" ht="90" thickBot="1" x14ac:dyDescent="0.25">
      <c r="A115" s="2258" t="str">
        <f>OF!A121</f>
        <v>OF22</v>
      </c>
      <c r="B115" s="2343"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v>
      </c>
      <c r="H115" s="2334" t="s">
        <v>1150</v>
      </c>
      <c r="I115" s="2252" t="s">
        <v>1151</v>
      </c>
    </row>
    <row r="116" spans="1:9" ht="25.5" x14ac:dyDescent="0.2">
      <c r="A116" s="2259"/>
      <c r="B116" s="2344"/>
      <c r="C116" s="695" t="str">
        <f>OF!C122</f>
        <v>&lt;0.01, or catchment size unknown due to stormwater pipes that collect water from an indeterminate area.</v>
      </c>
      <c r="D116" s="401">
        <f>OF!D122</f>
        <v>0</v>
      </c>
      <c r="E116" s="76">
        <v>3</v>
      </c>
      <c r="F116" s="76">
        <f>D116*E116</f>
        <v>0</v>
      </c>
      <c r="G116" s="191"/>
      <c r="H116" s="2332"/>
      <c r="I116" s="2253"/>
    </row>
    <row r="117" spans="1:9" x14ac:dyDescent="0.2">
      <c r="A117" s="2259"/>
      <c r="B117" s="2344"/>
      <c r="C117" s="700" t="str">
        <f>OF!C123</f>
        <v>0.01 to 0.1.</v>
      </c>
      <c r="D117" s="558">
        <f>OF!D123</f>
        <v>0</v>
      </c>
      <c r="E117" s="76">
        <v>2</v>
      </c>
      <c r="F117" s="76">
        <f>D117*E117</f>
        <v>0</v>
      </c>
      <c r="G117" s="192"/>
      <c r="H117" s="2332"/>
      <c r="I117" s="2253"/>
    </row>
    <row r="118" spans="1:9" x14ac:dyDescent="0.2">
      <c r="A118" s="2259"/>
      <c r="B118" s="2344"/>
      <c r="C118" s="700" t="str">
        <f>OF!C124</f>
        <v>0.1 to 1.</v>
      </c>
      <c r="D118" s="558">
        <f>OF!D124</f>
        <v>0</v>
      </c>
      <c r="E118" s="76">
        <v>1</v>
      </c>
      <c r="F118" s="76">
        <f>D118*E118</f>
        <v>0</v>
      </c>
      <c r="G118" s="192"/>
      <c r="H118" s="2332"/>
      <c r="I118" s="2253"/>
    </row>
    <row r="119" spans="1:9" ht="26.25" thickBot="1" x14ac:dyDescent="0.25">
      <c r="A119" s="2260"/>
      <c r="B119" s="2345"/>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33"/>
      <c r="I119" s="2254"/>
    </row>
    <row r="120" spans="1:9" ht="39" customHeight="1" thickBot="1" x14ac:dyDescent="0.25">
      <c r="A120" s="2258" t="str">
        <f>OF!A127</f>
        <v>OF23</v>
      </c>
      <c r="B120" s="2343"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334" t="s">
        <v>8608</v>
      </c>
      <c r="I120" s="2252" t="s">
        <v>1152</v>
      </c>
    </row>
    <row r="121" spans="1:9" x14ac:dyDescent="0.2">
      <c r="A121" s="2259"/>
      <c r="B121" s="2344"/>
      <c r="C121" s="695" t="str">
        <f>OF!C128</f>
        <v>&lt;10%.</v>
      </c>
      <c r="D121" s="401">
        <f>OF!D128</f>
        <v>0</v>
      </c>
      <c r="E121" s="76">
        <v>0</v>
      </c>
      <c r="F121" s="76">
        <f>D121*E121</f>
        <v>0</v>
      </c>
      <c r="G121" s="191"/>
      <c r="H121" s="2332"/>
      <c r="I121" s="2253"/>
    </row>
    <row r="122" spans="1:9" x14ac:dyDescent="0.2">
      <c r="A122" s="2259"/>
      <c r="B122" s="2344"/>
      <c r="C122" s="700" t="str">
        <f>OF!C129</f>
        <v>10 to 25%.</v>
      </c>
      <c r="D122" s="558">
        <f>OF!D129</f>
        <v>0</v>
      </c>
      <c r="E122" s="76">
        <v>1</v>
      </c>
      <c r="F122" s="76">
        <f>D122*E122</f>
        <v>0</v>
      </c>
      <c r="G122" s="192"/>
      <c r="H122" s="2332"/>
      <c r="I122" s="2253"/>
    </row>
    <row r="123" spans="1:9" ht="17.25" thickBot="1" x14ac:dyDescent="0.25">
      <c r="A123" s="2260"/>
      <c r="B123" s="2345"/>
      <c r="C123" s="696" t="str">
        <f>OF!C130</f>
        <v>&gt;25%.</v>
      </c>
      <c r="D123" s="794">
        <f>OF!D130</f>
        <v>0</v>
      </c>
      <c r="E123" s="77">
        <v>2</v>
      </c>
      <c r="F123" s="77">
        <f>D123*E123</f>
        <v>0</v>
      </c>
      <c r="G123" s="193"/>
      <c r="H123" s="2333"/>
      <c r="I123" s="2254"/>
    </row>
    <row r="124" spans="1:9" ht="115.5" customHeight="1" thickBot="1" x14ac:dyDescent="0.25">
      <c r="A124" s="2346" t="str">
        <f>OF!A131</f>
        <v>OF24</v>
      </c>
      <c r="B124" s="2344"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v>
      </c>
      <c r="H124" s="2332" t="s">
        <v>1153</v>
      </c>
      <c r="I124" s="2252" t="s">
        <v>1154</v>
      </c>
    </row>
    <row r="125" spans="1:9" x14ac:dyDescent="0.2">
      <c r="A125" s="2346"/>
      <c r="B125" s="2344"/>
      <c r="C125" s="695" t="str">
        <f>OF!C132</f>
        <v>Mostly true.</v>
      </c>
      <c r="D125" s="401">
        <f>OF!D132</f>
        <v>0</v>
      </c>
      <c r="E125" s="76">
        <v>2</v>
      </c>
      <c r="F125" s="76">
        <f>D125*E125</f>
        <v>0</v>
      </c>
      <c r="G125" s="191"/>
      <c r="H125" s="2332"/>
      <c r="I125" s="2253"/>
    </row>
    <row r="126" spans="1:9" x14ac:dyDescent="0.2">
      <c r="A126" s="2346"/>
      <c r="B126" s="2344"/>
      <c r="C126" s="700" t="str">
        <f>OF!C133</f>
        <v>Somewhat true.</v>
      </c>
      <c r="D126" s="558">
        <f>OF!D133</f>
        <v>0</v>
      </c>
      <c r="E126" s="76">
        <v>1</v>
      </c>
      <c r="F126" s="76">
        <f>D126*E126</f>
        <v>0</v>
      </c>
      <c r="G126" s="192"/>
      <c r="H126" s="2332"/>
      <c r="I126" s="2253"/>
    </row>
    <row r="127" spans="1:9" ht="17.25" thickBot="1" x14ac:dyDescent="0.25">
      <c r="A127" s="2346"/>
      <c r="B127" s="2344"/>
      <c r="C127" s="698" t="str">
        <f>OF!C134</f>
        <v>Mostly untrue.</v>
      </c>
      <c r="D127" s="557">
        <f>OF!D134</f>
        <v>0</v>
      </c>
      <c r="E127" s="79">
        <v>0</v>
      </c>
      <c r="F127" s="79">
        <f>D127*E127</f>
        <v>0</v>
      </c>
      <c r="G127" s="211"/>
      <c r="H127" s="2332"/>
      <c r="I127" s="2253"/>
    </row>
    <row r="128" spans="1:9" ht="26.25" customHeight="1" thickBot="1" x14ac:dyDescent="0.25">
      <c r="A128" s="2360" t="str">
        <f>F!A149</f>
        <v>F24</v>
      </c>
      <c r="B128" s="2255"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52" t="s">
        <v>1155</v>
      </c>
      <c r="I128" s="2252" t="s">
        <v>1156</v>
      </c>
    </row>
    <row r="129" spans="1:9" ht="25.5" x14ac:dyDescent="0.2">
      <c r="A129" s="2361"/>
      <c r="B129" s="2256"/>
      <c r="C129" s="302" t="str">
        <f>F!C150</f>
        <v xml:space="preserve">&lt;1% . In other words, all or nearly all of the AA is covered by water permanently or at least seasonally.  </v>
      </c>
      <c r="D129" s="401">
        <f>F!D150</f>
        <v>0</v>
      </c>
      <c r="E129" s="76">
        <v>5</v>
      </c>
      <c r="F129" s="76">
        <v>0</v>
      </c>
      <c r="G129" s="192"/>
      <c r="H129" s="2253"/>
      <c r="I129" s="2253"/>
    </row>
    <row r="130" spans="1:9" x14ac:dyDescent="0.2">
      <c r="A130" s="2361"/>
      <c r="B130" s="2256"/>
      <c r="C130" s="302" t="str">
        <f>F!C151</f>
        <v>1-25% of the AA,  or &lt;1% but &gt;0.01 ha never contains surface water.</v>
      </c>
      <c r="D130" s="401">
        <f>F!D151</f>
        <v>0</v>
      </c>
      <c r="E130" s="76">
        <v>4</v>
      </c>
      <c r="F130" s="76">
        <v>0</v>
      </c>
      <c r="G130" s="192"/>
      <c r="H130" s="2253"/>
      <c r="I130" s="2253"/>
    </row>
    <row r="131" spans="1:9" x14ac:dyDescent="0.2">
      <c r="A131" s="2361"/>
      <c r="B131" s="2256"/>
      <c r="C131" s="302" t="str">
        <f>F!C152</f>
        <v>25-50% of the AA never contains surface water.</v>
      </c>
      <c r="D131" s="401">
        <f>F!D152</f>
        <v>0</v>
      </c>
      <c r="E131" s="76">
        <v>3</v>
      </c>
      <c r="F131" s="76">
        <v>0</v>
      </c>
      <c r="G131" s="192"/>
      <c r="H131" s="2253"/>
      <c r="I131" s="2253"/>
    </row>
    <row r="132" spans="1:9" x14ac:dyDescent="0.2">
      <c r="A132" s="2361"/>
      <c r="B132" s="2256"/>
      <c r="C132" s="302" t="str">
        <f>F!C153</f>
        <v>50-75% of the AA never contains surface water.</v>
      </c>
      <c r="D132" s="401">
        <f>F!D153</f>
        <v>0</v>
      </c>
      <c r="E132" s="76">
        <v>2</v>
      </c>
      <c r="F132" s="76">
        <v>0</v>
      </c>
      <c r="G132" s="192"/>
      <c r="H132" s="2253"/>
      <c r="I132" s="2253"/>
    </row>
    <row r="133" spans="1:9" ht="25.5" x14ac:dyDescent="0.2">
      <c r="A133" s="2361"/>
      <c r="B133" s="2256"/>
      <c r="C133" s="302" t="str">
        <f>F!C154</f>
        <v>75-99% of the AA never contains surface water, OR &gt;99% and during most years there is at least one persistently ponded water body larger than 0.1 ha in the AA.</v>
      </c>
      <c r="D133" s="401">
        <f>F!D154</f>
        <v>0</v>
      </c>
      <c r="E133" s="79">
        <v>1</v>
      </c>
      <c r="F133" s="76">
        <v>0</v>
      </c>
      <c r="G133" s="211"/>
      <c r="H133" s="2253"/>
      <c r="I133" s="2253"/>
    </row>
    <row r="134" spans="1:9" ht="26.25" thickBot="1" x14ac:dyDescent="0.25">
      <c r="A134" s="2362"/>
      <c r="B134" s="2257"/>
      <c r="C134" s="649" t="str">
        <f>F!C155</f>
        <v>&gt; 99%. AND during most years there is never more than 0.1 ha of ponded surface water within the AA. Enter "1" and SKIP to F43 (Channel Connection).</v>
      </c>
      <c r="D134" s="480">
        <f>F!D155</f>
        <v>0</v>
      </c>
      <c r="E134" s="77">
        <v>0</v>
      </c>
      <c r="F134" s="77">
        <v>0</v>
      </c>
      <c r="G134" s="193"/>
      <c r="H134" s="2254"/>
      <c r="I134" s="2254"/>
    </row>
    <row r="135" spans="1:9" ht="26.25" customHeight="1" thickBot="1" x14ac:dyDescent="0.25">
      <c r="A135" s="2363" t="str">
        <f>F!A168</f>
        <v>F28</v>
      </c>
      <c r="B135" s="2344"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53" t="s">
        <v>1157</v>
      </c>
      <c r="I135" s="2252" t="s">
        <v>1158</v>
      </c>
    </row>
    <row r="136" spans="1:9" x14ac:dyDescent="0.2">
      <c r="A136" s="2363"/>
      <c r="B136" s="2344"/>
      <c r="C136" s="695" t="str">
        <f>F!C169</f>
        <v>&lt;10 cm change (stable or nearly so).</v>
      </c>
      <c r="D136" s="401">
        <f>F!D169</f>
        <v>0</v>
      </c>
      <c r="E136" s="76">
        <v>0</v>
      </c>
      <c r="F136" s="76">
        <f>D136*E136</f>
        <v>0</v>
      </c>
      <c r="G136" s="191"/>
      <c r="H136" s="2253"/>
      <c r="I136" s="2253"/>
    </row>
    <row r="137" spans="1:9" x14ac:dyDescent="0.2">
      <c r="A137" s="2363"/>
      <c r="B137" s="2344"/>
      <c r="C137" s="700" t="str">
        <f>F!C170</f>
        <v>10 cm - 50 cm change.</v>
      </c>
      <c r="D137" s="558">
        <f>F!D170</f>
        <v>0</v>
      </c>
      <c r="E137" s="76">
        <v>2</v>
      </c>
      <c r="F137" s="76">
        <f>D137*E137</f>
        <v>0</v>
      </c>
      <c r="G137" s="192"/>
      <c r="H137" s="2253"/>
      <c r="I137" s="2253"/>
    </row>
    <row r="138" spans="1:9" x14ac:dyDescent="0.2">
      <c r="A138" s="2363"/>
      <c r="B138" s="2344"/>
      <c r="C138" s="700" t="str">
        <f>F!C171</f>
        <v>0.5 - 1 m change.</v>
      </c>
      <c r="D138" s="558">
        <f>F!D171</f>
        <v>0</v>
      </c>
      <c r="E138" s="76">
        <v>3</v>
      </c>
      <c r="F138" s="76">
        <f>D138*E138</f>
        <v>0</v>
      </c>
      <c r="G138" s="192"/>
      <c r="H138" s="2253"/>
      <c r="I138" s="2253"/>
    </row>
    <row r="139" spans="1:9" x14ac:dyDescent="0.2">
      <c r="A139" s="2363"/>
      <c r="B139" s="2344"/>
      <c r="C139" s="700" t="str">
        <f>F!C172</f>
        <v>1-2 m change.</v>
      </c>
      <c r="D139" s="558">
        <f>F!D172</f>
        <v>0</v>
      </c>
      <c r="E139" s="79">
        <v>4</v>
      </c>
      <c r="F139" s="76">
        <f>D139*E139</f>
        <v>0</v>
      </c>
      <c r="G139" s="211"/>
      <c r="H139" s="2253"/>
      <c r="I139" s="2253"/>
    </row>
    <row r="140" spans="1:9" ht="17.25" thickBot="1" x14ac:dyDescent="0.25">
      <c r="A140" s="2363"/>
      <c r="B140" s="2344"/>
      <c r="C140" s="700" t="str">
        <f>F!C173</f>
        <v>&gt;2 m change.</v>
      </c>
      <c r="D140" s="558">
        <f>F!D173</f>
        <v>0</v>
      </c>
      <c r="E140" s="79">
        <v>5</v>
      </c>
      <c r="F140" s="79">
        <f>D140*E140</f>
        <v>0</v>
      </c>
      <c r="G140" s="211"/>
      <c r="H140" s="2253"/>
      <c r="I140" s="2254"/>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1159</v>
      </c>
      <c r="I141" s="4" t="s">
        <v>1160</v>
      </c>
    </row>
    <row r="142" spans="1:9" ht="39" customHeight="1" thickBot="1" x14ac:dyDescent="0.25">
      <c r="A142" s="2347" t="str">
        <f>F!A266</f>
        <v>F50</v>
      </c>
      <c r="B142" s="2343"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v>
      </c>
      <c r="H142" s="2252" t="s">
        <v>8609</v>
      </c>
      <c r="I142" s="2252" t="s">
        <v>1161</v>
      </c>
    </row>
    <row r="143" spans="1:9" x14ac:dyDescent="0.2">
      <c r="A143" s="2348"/>
      <c r="B143" s="2344"/>
      <c r="C143" s="699" t="str">
        <f>F!C267</f>
        <v>&lt;5%.</v>
      </c>
      <c r="D143" s="401">
        <f>F!D267</f>
        <v>0</v>
      </c>
      <c r="E143" s="76">
        <v>4</v>
      </c>
      <c r="F143" s="76">
        <f>D143*E143</f>
        <v>0</v>
      </c>
      <c r="G143" s="191"/>
      <c r="H143" s="2253"/>
      <c r="I143" s="2253"/>
    </row>
    <row r="144" spans="1:9" x14ac:dyDescent="0.2">
      <c r="A144" s="2348"/>
      <c r="B144" s="2344"/>
      <c r="C144" s="292" t="str">
        <f>F!C268</f>
        <v>5 to &lt;30%.</v>
      </c>
      <c r="D144" s="479">
        <f>F!D268</f>
        <v>0</v>
      </c>
      <c r="E144" s="76">
        <v>3</v>
      </c>
      <c r="F144" s="76">
        <f>D144*E144</f>
        <v>0</v>
      </c>
      <c r="G144" s="192"/>
      <c r="H144" s="2253"/>
      <c r="I144" s="2253"/>
    </row>
    <row r="145" spans="1:10" x14ac:dyDescent="0.2">
      <c r="A145" s="2348"/>
      <c r="B145" s="2344"/>
      <c r="C145" s="698" t="str">
        <f>F!C269</f>
        <v>30 to &lt;60%.</v>
      </c>
      <c r="D145" s="557">
        <f>F!D269</f>
        <v>0</v>
      </c>
      <c r="E145" s="76">
        <v>2</v>
      </c>
      <c r="F145" s="76">
        <f>D145*E145</f>
        <v>0</v>
      </c>
      <c r="G145" s="192"/>
      <c r="H145" s="2253"/>
      <c r="I145" s="2253"/>
    </row>
    <row r="146" spans="1:10" x14ac:dyDescent="0.2">
      <c r="A146" s="2348"/>
      <c r="B146" s="2344"/>
      <c r="C146" s="698" t="str">
        <f>F!C270</f>
        <v>60 to 90%.</v>
      </c>
      <c r="D146" s="557">
        <f>F!D270</f>
        <v>0</v>
      </c>
      <c r="E146" s="76">
        <v>1</v>
      </c>
      <c r="F146" s="76">
        <f>D146*E146</f>
        <v>0</v>
      </c>
      <c r="G146" s="192"/>
      <c r="H146" s="2253"/>
      <c r="I146" s="2253"/>
    </row>
    <row r="147" spans="1:10" ht="17.25" thickBot="1" x14ac:dyDescent="0.25">
      <c r="A147" s="2349"/>
      <c r="B147" s="2345"/>
      <c r="C147" s="696" t="str">
        <f>F!C271</f>
        <v>&gt;90%, or all the area within 30 m of the AA edge is other wetlands. SKIP to F53.</v>
      </c>
      <c r="D147" s="794">
        <f>F!D271</f>
        <v>0</v>
      </c>
      <c r="E147" s="77">
        <v>0</v>
      </c>
      <c r="F147" s="77">
        <f>D147*E147</f>
        <v>0</v>
      </c>
      <c r="G147" s="193"/>
      <c r="H147" s="2254"/>
      <c r="I147" s="2254"/>
    </row>
    <row r="148" spans="1:10" ht="26.25" customHeight="1" thickBot="1" x14ac:dyDescent="0.25">
      <c r="A148" s="2361" t="str">
        <f>F!A275</f>
        <v>F52</v>
      </c>
      <c r="B148" s="2256"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v>
      </c>
      <c r="H148" s="2253" t="s">
        <v>8736</v>
      </c>
      <c r="I148" s="2252" t="s">
        <v>1162</v>
      </c>
    </row>
    <row r="149" spans="1:10" ht="25.5" x14ac:dyDescent="0.2">
      <c r="A149" s="2361"/>
      <c r="B149" s="2256"/>
      <c r="C149" s="699" t="str">
        <f>F!C276</f>
        <v>&lt;1% (flat -- almost no noticeable slope) or all the area within 30 m of the AA edge is other wetlands.</v>
      </c>
      <c r="D149" s="401">
        <f>F!D276</f>
        <v>0</v>
      </c>
      <c r="E149" s="76">
        <v>0</v>
      </c>
      <c r="F149" s="76">
        <f>D149*E149</f>
        <v>0</v>
      </c>
      <c r="G149" s="191"/>
      <c r="H149" s="2253"/>
      <c r="I149" s="2253"/>
    </row>
    <row r="150" spans="1:10" x14ac:dyDescent="0.2">
      <c r="A150" s="2361"/>
      <c r="B150" s="2256"/>
      <c r="C150" s="292" t="str">
        <f>F!C277</f>
        <v>2-5%.</v>
      </c>
      <c r="D150" s="479">
        <f>F!D277</f>
        <v>0</v>
      </c>
      <c r="E150" s="76">
        <v>1</v>
      </c>
      <c r="F150" s="76">
        <f>D150*E150</f>
        <v>0</v>
      </c>
      <c r="G150" s="192"/>
      <c r="H150" s="2253"/>
      <c r="I150" s="2253"/>
    </row>
    <row r="151" spans="1:10" x14ac:dyDescent="0.2">
      <c r="A151" s="2361"/>
      <c r="B151" s="2256"/>
      <c r="C151" s="698" t="str">
        <f>F!C278</f>
        <v>5-30%.</v>
      </c>
      <c r="D151" s="557">
        <f>F!D278</f>
        <v>0</v>
      </c>
      <c r="E151" s="76">
        <v>4</v>
      </c>
      <c r="F151" s="76">
        <f>D151*E151</f>
        <v>0</v>
      </c>
      <c r="G151" s="192"/>
      <c r="H151" s="2253"/>
      <c r="I151" s="2253"/>
    </row>
    <row r="152" spans="1:10" ht="17.25" thickBot="1" x14ac:dyDescent="0.25">
      <c r="A152" s="2361"/>
      <c r="B152" s="2256"/>
      <c r="C152" s="698" t="str">
        <f>F!C279</f>
        <v>&gt;30%.</v>
      </c>
      <c r="D152" s="557">
        <f>F!D279</f>
        <v>0</v>
      </c>
      <c r="E152" s="79">
        <v>6</v>
      </c>
      <c r="F152" s="79">
        <f>D152*E152</f>
        <v>0</v>
      </c>
      <c r="G152" s="211"/>
      <c r="H152" s="2253"/>
      <c r="I152" s="2253"/>
    </row>
    <row r="153" spans="1:10" ht="26.25" customHeight="1" thickBot="1" x14ac:dyDescent="0.25">
      <c r="A153" s="2306" t="str">
        <f>F!A294</f>
        <v>F55</v>
      </c>
      <c r="B153" s="2246" t="str">
        <f>F!B294</f>
        <v>Fire History [WFR, CSP, PH, STR]</v>
      </c>
      <c r="C153" s="894" t="str">
        <f>F!C294</f>
        <v>More than 1% of the AA's previously vegetated area:</v>
      </c>
      <c r="D153" s="801"/>
      <c r="E153" s="80"/>
      <c r="F153" s="80"/>
      <c r="G153" s="184">
        <f>MAX(F154:F157)/MAX(E154:E157)</f>
        <v>0</v>
      </c>
      <c r="H153" s="2252" t="s">
        <v>8545</v>
      </c>
      <c r="I153" s="2252" t="s">
        <v>8546</v>
      </c>
    </row>
    <row r="154" spans="1:10" x14ac:dyDescent="0.2">
      <c r="A154" s="2307"/>
      <c r="B154" s="2247"/>
      <c r="C154" s="303" t="str">
        <f>F!C295</f>
        <v>Burned within past 5 years.</v>
      </c>
      <c r="D154" s="558">
        <f>F!D295</f>
        <v>0</v>
      </c>
      <c r="E154" s="76">
        <v>4</v>
      </c>
      <c r="F154" s="76">
        <f t="shared" ref="F154:F157" si="4">D154*E154</f>
        <v>0</v>
      </c>
      <c r="G154" s="192"/>
      <c r="H154" s="2253"/>
      <c r="I154" s="2253"/>
    </row>
    <row r="155" spans="1:10" x14ac:dyDescent="0.2">
      <c r="A155" s="2307"/>
      <c r="B155" s="2247"/>
      <c r="C155" s="303" t="str">
        <f>F!C296</f>
        <v>Burned 6-10 years ago.</v>
      </c>
      <c r="D155" s="558">
        <f>F!D296</f>
        <v>0</v>
      </c>
      <c r="E155" s="76">
        <v>1</v>
      </c>
      <c r="F155" s="76">
        <f t="shared" si="4"/>
        <v>0</v>
      </c>
      <c r="G155" s="192"/>
      <c r="H155" s="2253"/>
      <c r="I155" s="2253"/>
    </row>
    <row r="156" spans="1:10" x14ac:dyDescent="0.2">
      <c r="A156" s="2307"/>
      <c r="B156" s="2247"/>
      <c r="C156" s="303" t="str">
        <f>F!C297</f>
        <v>Burned 11-30 years ago.</v>
      </c>
      <c r="D156" s="558">
        <f>F!D297</f>
        <v>0</v>
      </c>
      <c r="E156" s="76">
        <v>1</v>
      </c>
      <c r="F156" s="76">
        <f t="shared" si="4"/>
        <v>0</v>
      </c>
      <c r="G156" s="192"/>
      <c r="H156" s="2253"/>
      <c r="I156" s="2253"/>
    </row>
    <row r="157" spans="1:10" ht="17.25" thickBot="1" x14ac:dyDescent="0.25">
      <c r="A157" s="2308"/>
      <c r="B157" s="2248"/>
      <c r="C157" s="571" t="str">
        <f>F!C298</f>
        <v>Burned &gt;30 years ago, or no evidence of a burn and no data.</v>
      </c>
      <c r="D157" s="794">
        <f>F!D298</f>
        <v>0</v>
      </c>
      <c r="E157" s="77">
        <v>0</v>
      </c>
      <c r="F157" s="77">
        <f t="shared" si="4"/>
        <v>0</v>
      </c>
      <c r="G157" s="193"/>
      <c r="H157" s="2254"/>
      <c r="I157" s="2254"/>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50"/>
      <c r="B159" s="2350"/>
      <c r="C159" s="2350"/>
      <c r="D159" s="2350"/>
      <c r="E159" s="2350"/>
      <c r="F159" s="2350"/>
      <c r="G159" s="2350"/>
      <c r="H159" s="2350"/>
      <c r="I159" s="252"/>
    </row>
    <row r="160" spans="1:10" ht="38.25" x14ac:dyDescent="0.2">
      <c r="A160" s="2351" t="s">
        <v>1053</v>
      </c>
      <c r="B160" s="2352"/>
      <c r="C160" s="2353"/>
      <c r="D160" s="2358" t="s">
        <v>980</v>
      </c>
      <c r="E160" s="2359"/>
      <c r="F160" s="2359"/>
      <c r="G160" s="655">
        <f>IF((AllSat1 + AllSat1&gt;0),"", AVERAGE(Fluc2,SeasPct2))</f>
        <v>0</v>
      </c>
      <c r="H160" s="656" t="s">
        <v>1166</v>
      </c>
      <c r="I160" s="322" t="s">
        <v>1167</v>
      </c>
      <c r="J160" s="297" t="s">
        <v>1168</v>
      </c>
    </row>
    <row r="161" spans="1:10" ht="38.25" x14ac:dyDescent="0.2">
      <c r="A161" s="2354"/>
      <c r="B161" s="2355"/>
      <c r="C161" s="2356"/>
      <c r="D161" s="2364" t="s">
        <v>1169</v>
      </c>
      <c r="E161" s="2365"/>
      <c r="F161" s="2365"/>
      <c r="G161" s="657">
        <f>IF((AllSat1=1),"",AVERAGE(OutDur2,FlowDist2,DepthC2,Ponding2,Constric2,WatEdgeSlope2))</f>
        <v>0</v>
      </c>
      <c r="H161" s="658" t="s">
        <v>1170</v>
      </c>
      <c r="I161" s="323" t="s">
        <v>1169</v>
      </c>
      <c r="J161" s="295" t="s">
        <v>1171</v>
      </c>
    </row>
    <row r="162" spans="1:10" ht="38.25" x14ac:dyDescent="0.2">
      <c r="A162" s="2354"/>
      <c r="B162" s="2355"/>
      <c r="C162" s="2356"/>
      <c r="D162" s="2364" t="s">
        <v>1172</v>
      </c>
      <c r="E162" s="2365"/>
      <c r="F162" s="2365"/>
      <c r="G162" s="657">
        <f>AVERAGE(Gradient2,WetPctCA2,AVERAGE(Girreg2, Gcover2,SoilDisturb3, Cattail2))</f>
        <v>8.3333333333333329E-2</v>
      </c>
      <c r="H162" s="658" t="s">
        <v>8547</v>
      </c>
      <c r="I162" s="323" t="s">
        <v>1173</v>
      </c>
      <c r="J162" s="295" t="s">
        <v>1174</v>
      </c>
    </row>
    <row r="163" spans="1:10" ht="51.75" thickBot="1" x14ac:dyDescent="0.25">
      <c r="A163" s="2326"/>
      <c r="B163" s="2327"/>
      <c r="C163" s="2357"/>
      <c r="D163" s="2364" t="s">
        <v>1175</v>
      </c>
      <c r="E163" s="2365"/>
      <c r="F163" s="2365"/>
      <c r="G163" s="657">
        <f>IF((AllSat1=1),"", IF((NoPonded=1),"", AVERAGE(WidthAbs2,AVERAGE(_GDD2,ThruFlo2,Interspers2,AqPlantCov2))))</f>
        <v>0</v>
      </c>
      <c r="H163" s="658" t="s">
        <v>1176</v>
      </c>
      <c r="I163" s="323" t="s">
        <v>1177</v>
      </c>
      <c r="J163" s="298" t="s">
        <v>1178</v>
      </c>
    </row>
    <row r="164" spans="1:10" ht="64.5" thickBot="1" x14ac:dyDescent="0.25">
      <c r="A164" s="2315"/>
      <c r="B164" s="2316"/>
      <c r="C164" s="2290" t="s">
        <v>1179</v>
      </c>
      <c r="D164" s="2291"/>
      <c r="E164" s="2292"/>
      <c r="F164" s="336" t="s">
        <v>988</v>
      </c>
      <c r="G164" s="1791">
        <f>10*(IF((AllSat1=1), DryIntercept, IF((OutNone+OutNone1&gt;0),1, (2*AVERAGE(Entrain, LiveStore2) + AVERAGE(DryIntercept, WetIntercept))/3)))</f>
        <v>0.1388888888888889</v>
      </c>
      <c r="H164" s="2288" t="s">
        <v>9008</v>
      </c>
      <c r="I164" s="2289"/>
      <c r="J164" s="1188" t="s">
        <v>1180</v>
      </c>
    </row>
    <row r="165" spans="1:10" ht="90" thickBot="1" x14ac:dyDescent="0.25">
      <c r="A165" s="2315"/>
      <c r="B165" s="2316"/>
      <c r="C165" s="2290" t="s">
        <v>1181</v>
      </c>
      <c r="D165" s="2291"/>
      <c r="E165" s="2292"/>
      <c r="F165" s="336" t="s">
        <v>991</v>
      </c>
      <c r="G165" s="1792">
        <f>10*(MAX(ToxData2, ToxUp2, SensShed2v, AVERAGE(Inflo2,SatPct2,AVERAGE(Elev3v,FireHist2,ImpervPctSS,Erodible2,CAnatPct2, BuffSlope2,CApct2,TransportSS,ToxData2))))</f>
        <v>10</v>
      </c>
      <c r="H165" s="2288" t="s">
        <v>9007</v>
      </c>
      <c r="I165" s="228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B148:B152"/>
    <mergeCell ref="A153:A157"/>
    <mergeCell ref="A142:A147"/>
    <mergeCell ref="B142:B147"/>
    <mergeCell ref="H148:H152"/>
    <mergeCell ref="I148:I152"/>
    <mergeCell ref="A159:H159"/>
    <mergeCell ref="A160:C163"/>
    <mergeCell ref="D160:F160"/>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87" t="s">
        <v>1208</v>
      </c>
      <c r="B1" s="238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392" t="str">
        <f>OF!A121</f>
        <v>OF22</v>
      </c>
      <c r="B3" s="2255"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v>
      </c>
      <c r="H3" s="2271" t="s">
        <v>1210</v>
      </c>
      <c r="I3" s="283" t="s">
        <v>1211</v>
      </c>
    </row>
    <row r="4" spans="1:9" ht="25.5" x14ac:dyDescent="0.2">
      <c r="A4" s="2277"/>
      <c r="B4" s="2256"/>
      <c r="C4" s="734" t="str">
        <f>OF!C122</f>
        <v>&lt;0.01, or catchment size unknown due to stormwater pipes that collect water from an indeterminate area.</v>
      </c>
      <c r="D4" s="401">
        <f>OF!D122</f>
        <v>0</v>
      </c>
      <c r="E4" s="76">
        <v>0</v>
      </c>
      <c r="F4" s="76">
        <f>D4*E4</f>
        <v>0</v>
      </c>
      <c r="G4" s="191"/>
      <c r="H4" s="2266"/>
      <c r="I4" s="64"/>
    </row>
    <row r="5" spans="1:9" x14ac:dyDescent="0.2">
      <c r="A5" s="2277"/>
      <c r="B5" s="2256"/>
      <c r="C5" s="735" t="str">
        <f>OF!C123</f>
        <v>0.01 to 0.1.</v>
      </c>
      <c r="D5" s="558">
        <f>OF!D123</f>
        <v>0</v>
      </c>
      <c r="E5" s="76">
        <v>1</v>
      </c>
      <c r="F5" s="76">
        <f>D5*E5</f>
        <v>0</v>
      </c>
      <c r="G5" s="192"/>
      <c r="H5" s="2266"/>
      <c r="I5" s="64"/>
    </row>
    <row r="6" spans="1:9" x14ac:dyDescent="0.2">
      <c r="A6" s="2277"/>
      <c r="B6" s="2256"/>
      <c r="C6" s="735" t="str">
        <f>OF!C124</f>
        <v>0.1 to 1.</v>
      </c>
      <c r="D6" s="558">
        <f>OF!D124</f>
        <v>0</v>
      </c>
      <c r="E6" s="76">
        <v>2</v>
      </c>
      <c r="F6" s="76">
        <f>D6*E6</f>
        <v>0</v>
      </c>
      <c r="G6" s="192"/>
      <c r="H6" s="2266"/>
      <c r="I6" s="64"/>
    </row>
    <row r="7" spans="1:9" ht="26.25" thickBot="1" x14ac:dyDescent="0.25">
      <c r="A7" s="2393"/>
      <c r="B7" s="2257"/>
      <c r="C7" s="736" t="str">
        <f>OF!C125</f>
        <v xml:space="preserve">&gt;1 (wetland is larger than its catchment (e.g., wetland with flat surrounding terrain and no inlet, or is entirely isolated by dikes, or is a raised bog). </v>
      </c>
      <c r="D7" s="794">
        <f>OF!D125</f>
        <v>0</v>
      </c>
      <c r="E7" s="77">
        <v>3</v>
      </c>
      <c r="F7" s="77">
        <f>D7*E7</f>
        <v>0</v>
      </c>
      <c r="G7" s="193"/>
      <c r="H7" s="2267"/>
      <c r="I7" s="282"/>
    </row>
    <row r="8" spans="1:9" ht="77.25" thickBot="1" x14ac:dyDescent="0.25">
      <c r="A8" s="2392" t="str">
        <f>OF!A139</f>
        <v>OF26</v>
      </c>
      <c r="B8" s="2255"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v>
      </c>
      <c r="H8" s="2271" t="s">
        <v>1212</v>
      </c>
      <c r="I8" s="283" t="s">
        <v>1213</v>
      </c>
    </row>
    <row r="9" spans="1:9" x14ac:dyDescent="0.2">
      <c r="A9" s="2277"/>
      <c r="B9" s="2256"/>
      <c r="C9" s="709" t="str">
        <f>OF!C140</f>
        <v>&lt;10 m</v>
      </c>
      <c r="D9" s="479">
        <f>OF!D140</f>
        <v>0</v>
      </c>
      <c r="E9" s="26">
        <v>0</v>
      </c>
      <c r="F9" s="79">
        <f t="shared" ref="F9:F14" si="0">D9*E9</f>
        <v>0</v>
      </c>
      <c r="G9" s="192"/>
      <c r="H9" s="2266"/>
      <c r="I9" s="64"/>
    </row>
    <row r="10" spans="1:9" x14ac:dyDescent="0.2">
      <c r="A10" s="2277"/>
      <c r="B10" s="2256"/>
      <c r="C10" s="679" t="str">
        <f>OF!C141</f>
        <v>10 - 50 m</v>
      </c>
      <c r="D10" s="557">
        <f>OF!D141</f>
        <v>0</v>
      </c>
      <c r="E10" s="26">
        <v>1</v>
      </c>
      <c r="F10" s="79">
        <f t="shared" si="0"/>
        <v>0</v>
      </c>
      <c r="G10" s="192"/>
      <c r="H10" s="2266"/>
      <c r="I10" s="64"/>
    </row>
    <row r="11" spans="1:9" x14ac:dyDescent="0.2">
      <c r="A11" s="2277"/>
      <c r="B11" s="2256"/>
      <c r="C11" s="679" t="str">
        <f>OF!C142</f>
        <v>50 - 100 m</v>
      </c>
      <c r="D11" s="557">
        <f>OF!D142</f>
        <v>0</v>
      </c>
      <c r="E11" s="26">
        <v>2</v>
      </c>
      <c r="F11" s="79">
        <f t="shared" si="0"/>
        <v>0</v>
      </c>
      <c r="G11" s="192"/>
      <c r="H11" s="2266"/>
      <c r="I11" s="64"/>
    </row>
    <row r="12" spans="1:9" x14ac:dyDescent="0.2">
      <c r="A12" s="2277"/>
      <c r="B12" s="2256"/>
      <c r="C12" s="679" t="str">
        <f>OF!C143</f>
        <v>100 - 1000 m</v>
      </c>
      <c r="D12" s="557">
        <f>OF!D143</f>
        <v>0</v>
      </c>
      <c r="E12" s="26">
        <v>3</v>
      </c>
      <c r="F12" s="79">
        <f t="shared" si="0"/>
        <v>0</v>
      </c>
      <c r="G12" s="192"/>
      <c r="H12" s="2266"/>
      <c r="I12" s="64"/>
    </row>
    <row r="13" spans="1:9" x14ac:dyDescent="0.2">
      <c r="A13" s="2277"/>
      <c r="B13" s="2256"/>
      <c r="C13" s="679" t="str">
        <f>OF!C144</f>
        <v>1- 2 km</v>
      </c>
      <c r="D13" s="557">
        <f>OF!D144</f>
        <v>0</v>
      </c>
      <c r="E13" s="26">
        <v>4</v>
      </c>
      <c r="F13" s="79">
        <f t="shared" si="0"/>
        <v>0</v>
      </c>
      <c r="G13" s="192"/>
      <c r="H13" s="2266"/>
      <c r="I13" s="64"/>
    </row>
    <row r="14" spans="1:9" ht="17.25" thickBot="1" x14ac:dyDescent="0.25">
      <c r="A14" s="2393"/>
      <c r="B14" s="2257"/>
      <c r="C14" s="387" t="str">
        <f>OF!C145</f>
        <v>&gt;2 km</v>
      </c>
      <c r="D14" s="794">
        <f>OF!D145</f>
        <v>0</v>
      </c>
      <c r="E14" s="67">
        <v>6</v>
      </c>
      <c r="F14" s="77">
        <f t="shared" si="0"/>
        <v>0</v>
      </c>
      <c r="G14" s="193"/>
      <c r="H14" s="2267"/>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94" t="str">
        <f>F!A107</f>
        <v>F17</v>
      </c>
      <c r="B16" s="2343"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271" t="s">
        <v>1215</v>
      </c>
      <c r="I16" s="2252" t="s">
        <v>1216</v>
      </c>
    </row>
    <row r="17" spans="1:9" ht="38.25" x14ac:dyDescent="0.2">
      <c r="A17" s="2395"/>
      <c r="B17" s="2344"/>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66"/>
      <c r="I17" s="2253"/>
    </row>
    <row r="18" spans="1:9" ht="25.5" x14ac:dyDescent="0.2">
      <c r="A18" s="2395"/>
      <c r="B18" s="2344"/>
      <c r="C18" s="700" t="str">
        <f>F!C109</f>
        <v>Slightly bare ground (5-20% bare between plants) is visible in places, and those areas comprise less than 5% of the unflooded parts of the AA.</v>
      </c>
      <c r="D18" s="399">
        <f>F!D109</f>
        <v>0</v>
      </c>
      <c r="E18" s="76">
        <v>2</v>
      </c>
      <c r="F18" s="76">
        <f>D18*E18</f>
        <v>0</v>
      </c>
      <c r="G18" s="192"/>
      <c r="H18" s="2266"/>
      <c r="I18" s="2253"/>
    </row>
    <row r="19" spans="1:9" ht="25.5" x14ac:dyDescent="0.2">
      <c r="A19" s="2395"/>
      <c r="B19" s="2344"/>
      <c r="C19" s="700" t="str">
        <f>F!C110</f>
        <v xml:space="preserve">Slightly bare ground (5-20% bare between plants) comprises more than 5% of the unflooded parts of the AA, </v>
      </c>
      <c r="D19" s="399">
        <f>F!D110</f>
        <v>0</v>
      </c>
      <c r="E19" s="76">
        <v>1</v>
      </c>
      <c r="F19" s="76">
        <f>D19*E19</f>
        <v>0</v>
      </c>
      <c r="G19" s="192"/>
      <c r="H19" s="2266"/>
      <c r="I19" s="2253"/>
    </row>
    <row r="20" spans="1:9" ht="25.5" x14ac:dyDescent="0.2">
      <c r="A20" s="2395"/>
      <c r="B20" s="2344"/>
      <c r="C20" s="700" t="str">
        <f>F!C111</f>
        <v>Very bare ground (20-50% bare between plants) comprises more than 5% of the unflooded parts of the AA. </v>
      </c>
      <c r="D20" s="399">
        <f>F!D111</f>
        <v>0</v>
      </c>
      <c r="E20" s="76">
        <v>0</v>
      </c>
      <c r="F20" s="76">
        <f>D20*E20</f>
        <v>0</v>
      </c>
      <c r="G20" s="192"/>
      <c r="H20" s="2266"/>
      <c r="I20" s="2253"/>
    </row>
    <row r="21" spans="1:9" ht="26.25" thickBot="1" x14ac:dyDescent="0.25">
      <c r="A21" s="2396"/>
      <c r="B21" s="2345"/>
      <c r="C21" s="696" t="str">
        <f>F!C112</f>
        <v>Not applicable. Surface water (either open or obscured by emergent plants) covers all of the AA all the time.</v>
      </c>
      <c r="D21" s="400">
        <f>F!D112</f>
        <v>0</v>
      </c>
      <c r="E21" s="77"/>
      <c r="F21" s="77"/>
      <c r="G21" s="193"/>
      <c r="H21" s="2267"/>
      <c r="I21" s="2254"/>
    </row>
    <row r="22" spans="1:9" ht="64.5" thickBot="1" x14ac:dyDescent="0.25">
      <c r="A22" s="2262" t="str">
        <f>F!A124</f>
        <v>F20</v>
      </c>
      <c r="B22" s="2256"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266" t="s">
        <v>1217</v>
      </c>
      <c r="I22" s="283" t="s">
        <v>1218</v>
      </c>
    </row>
    <row r="23" spans="1:9" ht="25.5" x14ac:dyDescent="0.2">
      <c r="A23" s="2262"/>
      <c r="B23" s="2256"/>
      <c r="C23" s="695" t="str">
        <f>F!C125</f>
        <v>Few or none (minimal microtopography; &lt;1% of the land has such features, or entire AA is always water-covered).</v>
      </c>
      <c r="D23" s="650">
        <f>F!D125</f>
        <v>0</v>
      </c>
      <c r="E23" s="76">
        <v>0</v>
      </c>
      <c r="F23" s="76">
        <f>D23*E23</f>
        <v>0</v>
      </c>
      <c r="G23" s="191"/>
      <c r="H23" s="2266"/>
      <c r="I23" s="64"/>
    </row>
    <row r="24" spans="1:9" x14ac:dyDescent="0.2">
      <c r="A24" s="2262"/>
      <c r="B24" s="2256"/>
      <c r="C24" s="700" t="str">
        <f>F!C126</f>
        <v>Intermediate.</v>
      </c>
      <c r="D24" s="651">
        <f>F!D126</f>
        <v>0</v>
      </c>
      <c r="E24" s="76">
        <v>2</v>
      </c>
      <c r="F24" s="76">
        <f>D24*E24</f>
        <v>0</v>
      </c>
      <c r="G24" s="192"/>
      <c r="H24" s="2266"/>
      <c r="I24" s="64"/>
    </row>
    <row r="25" spans="1:9" ht="17.25" thickBot="1" x14ac:dyDescent="0.25">
      <c r="A25" s="2263"/>
      <c r="B25" s="2257"/>
      <c r="C25" s="696" t="str">
        <f>F!C127</f>
        <v>Several (extensive micro-topography).</v>
      </c>
      <c r="D25" s="680">
        <f>F!D127</f>
        <v>0</v>
      </c>
      <c r="E25" s="77">
        <v>3</v>
      </c>
      <c r="F25" s="77">
        <f>D25*E25</f>
        <v>0</v>
      </c>
      <c r="G25" s="193"/>
      <c r="H25" s="2267"/>
      <c r="I25" s="282"/>
    </row>
    <row r="26" spans="1:9" ht="26.25" thickBot="1" x14ac:dyDescent="0.25">
      <c r="A26" s="1175" t="str">
        <f>F!A128</f>
        <v>F21</v>
      </c>
      <c r="B26" s="2255" t="str">
        <f>F!B128</f>
        <v>Soil Texture [WS, SFTS, PR, NR,WFR, CSP, CC, APP, PH, Sens]</v>
      </c>
      <c r="C26" s="733" t="str">
        <f>F!C128</f>
        <v>In parts of the AA that lack persistent water, the texture of soil in the uppermost (&lt;20 cm) layer is mostly:</v>
      </c>
      <c r="D26" s="796"/>
      <c r="E26" s="75"/>
      <c r="F26" s="78"/>
      <c r="G26" s="348">
        <f>MAX(F27:F31)/MAX(E27:E31)</f>
        <v>0</v>
      </c>
      <c r="H26" s="2271" t="s">
        <v>1219</v>
      </c>
      <c r="I26" s="283" t="s">
        <v>1220</v>
      </c>
    </row>
    <row r="27" spans="1:9" ht="25.5" x14ac:dyDescent="0.2">
      <c r="A27" s="1175"/>
      <c r="B27" s="2256"/>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266"/>
      <c r="I27" s="64"/>
    </row>
    <row r="28" spans="1:9" ht="25.5" x14ac:dyDescent="0.2">
      <c r="A28" s="1175"/>
      <c r="B28" s="2256"/>
      <c r="C28" s="735" t="str">
        <f>F!C130</f>
        <v>Fines: includes silt, clay, silt, soils that make a ribbon longer than 2 cm when moistened, rolled, squeezed, and extended between thumb and forefinger.</v>
      </c>
      <c r="D28" s="558">
        <f>F!D130</f>
        <v>0</v>
      </c>
      <c r="E28" s="76">
        <v>3</v>
      </c>
      <c r="F28" s="76">
        <f>D28*E28</f>
        <v>0</v>
      </c>
      <c r="G28" s="192"/>
      <c r="H28" s="2266"/>
      <c r="I28" s="64"/>
    </row>
    <row r="29" spans="1:9" x14ac:dyDescent="0.2">
      <c r="A29" s="1175"/>
      <c r="B29" s="2256"/>
      <c r="C29" s="735" t="str">
        <f>F!C131</f>
        <v>Deep Peat, to 40 cm (16 inch) depth or greater.</v>
      </c>
      <c r="D29" s="558">
        <f>F!D131</f>
        <v>0</v>
      </c>
      <c r="E29" s="76">
        <v>5</v>
      </c>
      <c r="F29" s="76">
        <f>D29*E29</f>
        <v>0</v>
      </c>
      <c r="G29" s="192"/>
      <c r="H29" s="2266"/>
      <c r="I29" s="64"/>
    </row>
    <row r="30" spans="1:9" x14ac:dyDescent="0.2">
      <c r="A30" s="1175"/>
      <c r="B30" s="2256"/>
      <c r="C30" s="735" t="str">
        <f>F!C132</f>
        <v xml:space="preserve">Shallow Peat or organic &lt;40 cm deep. </v>
      </c>
      <c r="D30" s="558">
        <f>F!D132</f>
        <v>0</v>
      </c>
      <c r="E30" s="76">
        <v>4</v>
      </c>
      <c r="F30" s="76">
        <f>D30*E30</f>
        <v>0</v>
      </c>
      <c r="G30" s="211"/>
      <c r="H30" s="2266"/>
      <c r="I30" s="64"/>
    </row>
    <row r="31" spans="1:9" ht="26.25" thickBot="1" x14ac:dyDescent="0.25">
      <c r="A31" s="1175"/>
      <c r="B31" s="2256"/>
      <c r="C31" s="740" t="str">
        <f>F!C133</f>
        <v>Coarse: includes sand, loamy sand, gravel, cobble, soils that do not make a ribbon when moistened, rolled, squeezed, and extended between thumb and forefinger.</v>
      </c>
      <c r="D31" s="557">
        <f>F!D133</f>
        <v>0</v>
      </c>
      <c r="E31" s="79">
        <v>0</v>
      </c>
      <c r="F31" s="79">
        <f>D31*E31</f>
        <v>0</v>
      </c>
      <c r="G31" s="211"/>
      <c r="H31" s="2267"/>
      <c r="I31" s="282"/>
    </row>
    <row r="32" spans="1:9" ht="51.75" customHeight="1" thickBot="1" x14ac:dyDescent="0.25">
      <c r="A32" s="1150" t="str">
        <f>F!A142</f>
        <v>F23</v>
      </c>
      <c r="B32" s="2255"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v>
      </c>
      <c r="H32" s="2271" t="s">
        <v>1221</v>
      </c>
      <c r="I32" s="283" t="s">
        <v>1222</v>
      </c>
    </row>
    <row r="33" spans="1:9" x14ac:dyDescent="0.2">
      <c r="A33" s="1151"/>
      <c r="B33" s="2256"/>
      <c r="C33" s="735" t="str">
        <f>F!C143</f>
        <v>None or trace.</v>
      </c>
      <c r="D33" s="558">
        <f>F!D143</f>
        <v>0</v>
      </c>
      <c r="E33" s="75">
        <v>5</v>
      </c>
      <c r="F33" s="76">
        <f>D33*E33</f>
        <v>0</v>
      </c>
      <c r="G33" s="192"/>
      <c r="H33" s="2266"/>
      <c r="I33" s="64"/>
    </row>
    <row r="34" spans="1:9" x14ac:dyDescent="0.2">
      <c r="A34" s="1151"/>
      <c r="B34" s="2256"/>
      <c r="C34" s="735" t="str">
        <f>F!C144</f>
        <v>1-20% of the AA.</v>
      </c>
      <c r="D34" s="558">
        <f>F!D144</f>
        <v>0</v>
      </c>
      <c r="E34" s="76">
        <v>4</v>
      </c>
      <c r="F34" s="76">
        <f>D34*E34</f>
        <v>0</v>
      </c>
      <c r="G34" s="191"/>
      <c r="H34" s="2266"/>
      <c r="I34" s="64"/>
    </row>
    <row r="35" spans="1:9" x14ac:dyDescent="0.2">
      <c r="A35" s="1151"/>
      <c r="B35" s="2256"/>
      <c r="C35" s="735" t="str">
        <f>F!C145</f>
        <v>20-50% of the AA.</v>
      </c>
      <c r="D35" s="558">
        <f>F!D145</f>
        <v>0</v>
      </c>
      <c r="E35" s="76">
        <v>3</v>
      </c>
      <c r="F35" s="76">
        <f>D35*E35</f>
        <v>0</v>
      </c>
      <c r="G35" s="192"/>
      <c r="H35" s="2266"/>
      <c r="I35" s="64"/>
    </row>
    <row r="36" spans="1:9" x14ac:dyDescent="0.2">
      <c r="A36" s="1151"/>
      <c r="B36" s="2256"/>
      <c r="C36" s="735" t="str">
        <f>F!C146</f>
        <v>50-95% of the AA.</v>
      </c>
      <c r="D36" s="558">
        <f>F!D146</f>
        <v>0</v>
      </c>
      <c r="E36" s="76">
        <v>2</v>
      </c>
      <c r="F36" s="76">
        <f>D36*E36</f>
        <v>0</v>
      </c>
      <c r="G36" s="192"/>
      <c r="H36" s="2266"/>
      <c r="I36" s="64"/>
    </row>
    <row r="37" spans="1:9" ht="17.25" thickBot="1" x14ac:dyDescent="0.25">
      <c r="A37" s="1152"/>
      <c r="B37" s="2257"/>
      <c r="C37" s="736" t="str">
        <f>F!C147</f>
        <v>&gt;95% of the AA. True for many fringe wetlands.</v>
      </c>
      <c r="D37" s="794">
        <f>F!D147</f>
        <v>0</v>
      </c>
      <c r="E37" s="77">
        <v>0</v>
      </c>
      <c r="F37" s="77">
        <f>D37*E37</f>
        <v>0</v>
      </c>
      <c r="G37" s="193"/>
      <c r="H37" s="2267"/>
      <c r="I37" s="282"/>
    </row>
    <row r="38" spans="1:9" ht="26.25" thickBot="1" x14ac:dyDescent="0.25">
      <c r="A38" s="1176" t="str">
        <f>F!A149</f>
        <v>F24</v>
      </c>
      <c r="B38" s="2283"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v>
      </c>
      <c r="H38" s="2271" t="s">
        <v>1223</v>
      </c>
      <c r="I38" s="283" t="s">
        <v>1224</v>
      </c>
    </row>
    <row r="39" spans="1:9" ht="25.5" x14ac:dyDescent="0.2">
      <c r="A39" s="1177"/>
      <c r="B39" s="2264"/>
      <c r="C39" s="775" t="str">
        <f>F!C150</f>
        <v xml:space="preserve">&lt;1% . In other words, all or nearly all of the AA is covered by water permanently or at least seasonally.  </v>
      </c>
      <c r="D39" s="797">
        <f>F!D150</f>
        <v>0</v>
      </c>
      <c r="E39" s="76">
        <v>0</v>
      </c>
      <c r="F39" s="76">
        <f t="shared" ref="F39:F44" si="1">D39*E39</f>
        <v>0</v>
      </c>
      <c r="G39" s="192"/>
      <c r="H39" s="2266"/>
      <c r="I39" s="64"/>
    </row>
    <row r="40" spans="1:9" x14ac:dyDescent="0.2">
      <c r="A40" s="1177"/>
      <c r="B40" s="2264"/>
      <c r="C40" s="776" t="str">
        <f>F!C151</f>
        <v>1-25% of the AA,  or &lt;1% but &gt;0.01 ha never contains surface water.</v>
      </c>
      <c r="D40" s="798">
        <f>F!D151</f>
        <v>0</v>
      </c>
      <c r="E40" s="76">
        <v>1</v>
      </c>
      <c r="F40" s="76">
        <f t="shared" si="1"/>
        <v>0</v>
      </c>
      <c r="G40" s="192"/>
      <c r="H40" s="2266"/>
      <c r="I40" s="64"/>
    </row>
    <row r="41" spans="1:9" x14ac:dyDescent="0.2">
      <c r="A41" s="1177"/>
      <c r="B41" s="2264"/>
      <c r="C41" s="776" t="str">
        <f>F!C152</f>
        <v>25-50% of the AA never contains surface water.</v>
      </c>
      <c r="D41" s="798">
        <f>F!D152</f>
        <v>0</v>
      </c>
      <c r="E41" s="76">
        <v>2</v>
      </c>
      <c r="F41" s="76">
        <f t="shared" si="1"/>
        <v>0</v>
      </c>
      <c r="G41" s="192"/>
      <c r="H41" s="2266"/>
      <c r="I41" s="64"/>
    </row>
    <row r="42" spans="1:9" x14ac:dyDescent="0.2">
      <c r="A42" s="1177"/>
      <c r="B42" s="2264"/>
      <c r="C42" s="776" t="str">
        <f>F!C153</f>
        <v>50-75% of the AA never contains surface water.</v>
      </c>
      <c r="D42" s="798">
        <f>F!D153</f>
        <v>0</v>
      </c>
      <c r="E42" s="76">
        <v>3</v>
      </c>
      <c r="F42" s="76">
        <f t="shared" si="1"/>
        <v>0</v>
      </c>
      <c r="G42" s="192"/>
      <c r="H42" s="2266"/>
      <c r="I42" s="64"/>
    </row>
    <row r="43" spans="1:9" ht="25.5" x14ac:dyDescent="0.2">
      <c r="A43" s="1177"/>
      <c r="B43" s="2264"/>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266"/>
      <c r="I43" s="64"/>
    </row>
    <row r="44" spans="1:9" ht="26.25" thickBot="1" x14ac:dyDescent="0.25">
      <c r="A44" s="1178"/>
      <c r="B44" s="2370"/>
      <c r="C44" s="1197" t="str">
        <f>F!C155</f>
        <v>&gt; 99%. AND during most years there is never more than 0.1 ha of ponded surface water within the AA. Enter "1" and SKIP to F43 (Channel Connection).</v>
      </c>
      <c r="D44" s="817">
        <f>F!D155</f>
        <v>0</v>
      </c>
      <c r="E44" s="79">
        <v>5</v>
      </c>
      <c r="F44" s="79">
        <f t="shared" si="1"/>
        <v>0</v>
      </c>
      <c r="G44" s="211"/>
      <c r="H44" s="2266"/>
      <c r="I44" s="282"/>
    </row>
    <row r="45" spans="1:9" ht="26.25" thickBot="1" x14ac:dyDescent="0.25">
      <c r="A45" s="1153" t="str">
        <f>F!A168</f>
        <v>F28</v>
      </c>
      <c r="B45" s="2255"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271" t="s">
        <v>1225</v>
      </c>
      <c r="I45" s="283" t="s">
        <v>1226</v>
      </c>
    </row>
    <row r="46" spans="1:9" x14ac:dyDescent="0.2">
      <c r="A46" s="1173"/>
      <c r="B46" s="2256"/>
      <c r="C46" s="734" t="str">
        <f>F!C169</f>
        <v>&lt;10 cm change (stable or nearly so).</v>
      </c>
      <c r="D46" s="401">
        <f>F!D169</f>
        <v>0</v>
      </c>
      <c r="E46" s="76">
        <v>5</v>
      </c>
      <c r="F46" s="76">
        <f>D46*E46</f>
        <v>0</v>
      </c>
      <c r="G46" s="191"/>
      <c r="H46" s="2266"/>
      <c r="I46" s="64"/>
    </row>
    <row r="47" spans="1:9" x14ac:dyDescent="0.2">
      <c r="A47" s="1173"/>
      <c r="B47" s="2256"/>
      <c r="C47" s="735" t="str">
        <f>F!C170</f>
        <v>10 cm - 50 cm change.</v>
      </c>
      <c r="D47" s="558">
        <f>F!D170</f>
        <v>0</v>
      </c>
      <c r="E47" s="26">
        <v>3</v>
      </c>
      <c r="F47" s="76">
        <f>D47*E47</f>
        <v>0</v>
      </c>
      <c r="G47" s="192"/>
      <c r="H47" s="2266"/>
      <c r="I47" s="64"/>
    </row>
    <row r="48" spans="1:9" x14ac:dyDescent="0.2">
      <c r="A48" s="1173"/>
      <c r="B48" s="2256"/>
      <c r="C48" s="735" t="str">
        <f>F!C171</f>
        <v>0.5 - 1 m change.</v>
      </c>
      <c r="D48" s="558">
        <f>F!D171</f>
        <v>0</v>
      </c>
      <c r="E48" s="26">
        <v>2</v>
      </c>
      <c r="F48" s="76">
        <f>D48*E48</f>
        <v>0</v>
      </c>
      <c r="G48" s="192"/>
      <c r="H48" s="2266"/>
      <c r="I48" s="64"/>
    </row>
    <row r="49" spans="1:9" x14ac:dyDescent="0.2">
      <c r="A49" s="1173"/>
      <c r="B49" s="2256"/>
      <c r="C49" s="735" t="str">
        <f>F!C172</f>
        <v>1-2 m change.</v>
      </c>
      <c r="D49" s="558">
        <f>F!D172</f>
        <v>0</v>
      </c>
      <c r="E49" s="76">
        <v>1</v>
      </c>
      <c r="F49" s="76">
        <f>D49*E49</f>
        <v>0</v>
      </c>
      <c r="G49" s="192"/>
      <c r="H49" s="2266"/>
      <c r="I49" s="64"/>
    </row>
    <row r="50" spans="1:9" ht="17.25" thickBot="1" x14ac:dyDescent="0.25">
      <c r="A50" s="1174"/>
      <c r="B50" s="2257"/>
      <c r="C50" s="736" t="str">
        <f>F!C173</f>
        <v>&gt;2 m change.</v>
      </c>
      <c r="D50" s="794">
        <f>F!D173</f>
        <v>0</v>
      </c>
      <c r="E50" s="77">
        <v>0</v>
      </c>
      <c r="F50" s="77">
        <f>D50*E50</f>
        <v>0</v>
      </c>
      <c r="G50" s="193"/>
      <c r="H50" s="2267"/>
      <c r="I50" s="282"/>
    </row>
    <row r="51" spans="1:9" ht="26.25" thickBot="1" x14ac:dyDescent="0.25">
      <c r="A51" s="1173" t="str">
        <f>F!A175</f>
        <v>F29</v>
      </c>
      <c r="B51" s="2256"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v>
      </c>
      <c r="H51" s="2266" t="s">
        <v>1227</v>
      </c>
      <c r="I51" s="283" t="s">
        <v>1228</v>
      </c>
    </row>
    <row r="52" spans="1:9" x14ac:dyDescent="0.2">
      <c r="A52" s="1173"/>
      <c r="B52" s="2256"/>
      <c r="C52" s="734" t="str">
        <f>F!C176</f>
        <v>&lt;10 cm deep (but &gt;0).</v>
      </c>
      <c r="D52" s="401">
        <f>F!D176</f>
        <v>0</v>
      </c>
      <c r="E52" s="76">
        <v>0</v>
      </c>
      <c r="F52" s="76">
        <f>D52*E52</f>
        <v>0</v>
      </c>
      <c r="G52" s="191"/>
      <c r="H52" s="2266"/>
      <c r="I52" s="64"/>
    </row>
    <row r="53" spans="1:9" x14ac:dyDescent="0.2">
      <c r="A53" s="1173"/>
      <c r="B53" s="2256"/>
      <c r="C53" s="735" t="str">
        <f>F!C177</f>
        <v>10 - 50 cm deep.</v>
      </c>
      <c r="D53" s="558">
        <f>F!D177</f>
        <v>0</v>
      </c>
      <c r="E53" s="76">
        <v>2</v>
      </c>
      <c r="F53" s="76">
        <f>D53*E53</f>
        <v>0</v>
      </c>
      <c r="G53" s="192"/>
      <c r="H53" s="2266"/>
      <c r="I53" s="64"/>
    </row>
    <row r="54" spans="1:9" x14ac:dyDescent="0.2">
      <c r="A54" s="1173"/>
      <c r="B54" s="2256"/>
      <c r="C54" s="735" t="str">
        <f>F!C178</f>
        <v>0.5 - 1 m deep.</v>
      </c>
      <c r="D54" s="558">
        <f>F!D178</f>
        <v>0</v>
      </c>
      <c r="E54" s="76">
        <v>5</v>
      </c>
      <c r="F54" s="76">
        <f>D54*E54</f>
        <v>0</v>
      </c>
      <c r="G54" s="192"/>
      <c r="H54" s="2266"/>
      <c r="I54" s="64"/>
    </row>
    <row r="55" spans="1:9" x14ac:dyDescent="0.2">
      <c r="A55" s="1173"/>
      <c r="B55" s="2256"/>
      <c r="C55" s="735" t="str">
        <f>F!C179</f>
        <v>1 - 2 m deep.</v>
      </c>
      <c r="D55" s="558">
        <f>F!D179</f>
        <v>0</v>
      </c>
      <c r="E55" s="76">
        <v>4</v>
      </c>
      <c r="F55" s="76">
        <f>D55*E55</f>
        <v>0</v>
      </c>
      <c r="G55" s="192"/>
      <c r="H55" s="2266"/>
      <c r="I55" s="64"/>
    </row>
    <row r="56" spans="1:9" ht="17.25" thickBot="1" x14ac:dyDescent="0.25">
      <c r="A56" s="1173"/>
      <c r="B56" s="2256"/>
      <c r="C56" s="740" t="str">
        <f>F!C180</f>
        <v>&gt;2 m deep. True for many fringe wetlands.</v>
      </c>
      <c r="D56" s="557">
        <f>F!D180</f>
        <v>0</v>
      </c>
      <c r="E56" s="79">
        <v>3</v>
      </c>
      <c r="F56" s="79">
        <f>D56*E56</f>
        <v>0</v>
      </c>
      <c r="G56" s="211"/>
      <c r="H56" s="2266"/>
      <c r="I56" s="282"/>
    </row>
    <row r="57" spans="1:9" ht="32.25" customHeight="1" thickBot="1" x14ac:dyDescent="0.25">
      <c r="A57" s="2379" t="str">
        <f>F!A187</f>
        <v>F31</v>
      </c>
      <c r="B57" s="2246"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v>
      </c>
      <c r="H57" s="2271" t="s">
        <v>8619</v>
      </c>
      <c r="I57" s="64" t="s">
        <v>8548</v>
      </c>
    </row>
    <row r="58" spans="1:9" ht="25.5" x14ac:dyDescent="0.2">
      <c r="A58" s="2380"/>
      <c r="B58" s="2247"/>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266"/>
      <c r="I58" s="64"/>
    </row>
    <row r="59" spans="1:9" x14ac:dyDescent="0.2">
      <c r="A59" s="2380"/>
      <c r="B59" s="2247"/>
      <c r="C59" s="1827" t="str">
        <f>F!C189</f>
        <v>5-30% of the water.</v>
      </c>
      <c r="D59" s="1837">
        <f>F!D189</f>
        <v>0</v>
      </c>
      <c r="E59" s="76">
        <v>1</v>
      </c>
      <c r="F59" s="76">
        <f t="shared" si="2"/>
        <v>0</v>
      </c>
      <c r="G59" s="166"/>
      <c r="H59" s="2266"/>
      <c r="I59" s="64"/>
    </row>
    <row r="60" spans="1:9" x14ac:dyDescent="0.2">
      <c r="A60" s="2380"/>
      <c r="B60" s="2247"/>
      <c r="C60" s="1827" t="str">
        <f>F!C190</f>
        <v>30-70% of the water.</v>
      </c>
      <c r="D60" s="1837">
        <f>F!D190</f>
        <v>0</v>
      </c>
      <c r="E60" s="76">
        <v>3</v>
      </c>
      <c r="F60" s="76">
        <f t="shared" si="2"/>
        <v>0</v>
      </c>
      <c r="G60" s="166"/>
      <c r="H60" s="2266"/>
      <c r="I60" s="64"/>
    </row>
    <row r="61" spans="1:9" x14ac:dyDescent="0.2">
      <c r="A61" s="2380"/>
      <c r="B61" s="2247"/>
      <c r="C61" s="1827" t="str">
        <f>F!C191</f>
        <v>70-95% of the water.</v>
      </c>
      <c r="D61" s="1837">
        <f>F!D191</f>
        <v>0</v>
      </c>
      <c r="E61" s="76">
        <v>1</v>
      </c>
      <c r="F61" s="76">
        <f t="shared" si="2"/>
        <v>0</v>
      </c>
      <c r="G61" s="166"/>
      <c r="H61" s="2266"/>
      <c r="I61" s="64"/>
    </row>
    <row r="62" spans="1:9" ht="17.25" thickBot="1" x14ac:dyDescent="0.25">
      <c r="A62" s="2381"/>
      <c r="B62" s="2248"/>
      <c r="C62" s="1828" t="str">
        <f>F!C192</f>
        <v>&gt;95% of the water. Includes but not limited to wetlands with no outlets (F42).</v>
      </c>
      <c r="D62" s="1838">
        <f>F!D192</f>
        <v>0</v>
      </c>
      <c r="E62" s="77">
        <v>0</v>
      </c>
      <c r="F62" s="77">
        <f t="shared" si="2"/>
        <v>0</v>
      </c>
      <c r="G62" s="167"/>
      <c r="H62" s="2267"/>
      <c r="I62" s="64"/>
    </row>
    <row r="63" spans="1:9" ht="26.25" thickBot="1" x14ac:dyDescent="0.25">
      <c r="A63" s="1177" t="str">
        <f>F!A195</f>
        <v>F33</v>
      </c>
      <c r="B63" s="2264"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0</v>
      </c>
      <c r="H63" s="2266" t="s">
        <v>1229</v>
      </c>
      <c r="I63" s="283" t="s">
        <v>1230</v>
      </c>
    </row>
    <row r="64" spans="1:9" ht="25.5" x14ac:dyDescent="0.2">
      <c r="A64" s="1177"/>
      <c r="B64" s="2264"/>
      <c r="C64" s="789" t="str">
        <f>F!C196</f>
        <v>None, or &lt;1% of the AA and largest pool occupies &lt;0.01 hectares. Enter "1" and SKIP to F38 (Floating Algae &amp; Duckweed).</v>
      </c>
      <c r="D64" s="800">
        <f>F!D196</f>
        <v>0</v>
      </c>
      <c r="E64" s="76">
        <v>0</v>
      </c>
      <c r="F64" s="76">
        <f t="shared" ref="F64:F69" si="3">D64*E64</f>
        <v>0</v>
      </c>
      <c r="G64" s="191"/>
      <c r="H64" s="2266"/>
      <c r="I64" s="64"/>
    </row>
    <row r="65" spans="1:9" x14ac:dyDescent="0.2">
      <c r="A65" s="1177"/>
      <c r="B65" s="2264"/>
      <c r="C65" s="738" t="str">
        <f>F!C197</f>
        <v>1-4% of the ponded water. Enter "1" and SKIP to F38 (Floating Algae &amp; Duckweed).</v>
      </c>
      <c r="D65" s="798">
        <f>F!D197</f>
        <v>0</v>
      </c>
      <c r="E65" s="76">
        <v>2</v>
      </c>
      <c r="F65" s="76">
        <f t="shared" si="3"/>
        <v>0</v>
      </c>
      <c r="G65" s="192"/>
      <c r="H65" s="2266"/>
      <c r="I65" s="64"/>
    </row>
    <row r="66" spans="1:9" x14ac:dyDescent="0.2">
      <c r="A66" s="1177"/>
      <c r="B66" s="2264"/>
      <c r="C66" s="738" t="str">
        <f>F!C198</f>
        <v>5-30% of the ponded water.</v>
      </c>
      <c r="D66" s="798">
        <f>F!D198</f>
        <v>0</v>
      </c>
      <c r="E66" s="76">
        <v>5</v>
      </c>
      <c r="F66" s="76">
        <f t="shared" si="3"/>
        <v>0</v>
      </c>
      <c r="G66" s="192"/>
      <c r="H66" s="2266"/>
      <c r="I66" s="64"/>
    </row>
    <row r="67" spans="1:9" x14ac:dyDescent="0.2">
      <c r="A67" s="1177"/>
      <c r="B67" s="2264"/>
      <c r="C67" s="738" t="str">
        <f>F!C199</f>
        <v>30-70% of the ponded water.</v>
      </c>
      <c r="D67" s="798">
        <f>F!D199</f>
        <v>0</v>
      </c>
      <c r="E67" s="76">
        <v>4</v>
      </c>
      <c r="F67" s="76">
        <f t="shared" si="3"/>
        <v>0</v>
      </c>
      <c r="G67" s="192"/>
      <c r="H67" s="2266"/>
      <c r="I67" s="64"/>
    </row>
    <row r="68" spans="1:9" x14ac:dyDescent="0.2">
      <c r="A68" s="1177"/>
      <c r="B68" s="2264"/>
      <c r="C68" s="738" t="str">
        <f>F!C200</f>
        <v>70-99% of the ponded water.</v>
      </c>
      <c r="D68" s="798">
        <f>F!D200</f>
        <v>0</v>
      </c>
      <c r="E68" s="76">
        <v>3</v>
      </c>
      <c r="F68" s="76">
        <f t="shared" si="3"/>
        <v>0</v>
      </c>
      <c r="G68" s="192"/>
      <c r="H68" s="2266"/>
      <c r="I68" s="64"/>
    </row>
    <row r="69" spans="1:9" ht="17.25" thickBot="1" x14ac:dyDescent="0.25">
      <c r="A69" s="1178"/>
      <c r="B69" s="2370"/>
      <c r="C69" s="790" t="str">
        <f>F!C201</f>
        <v xml:space="preserve">100% of the ponded water. </v>
      </c>
      <c r="D69" s="720">
        <f>F!D201</f>
        <v>0</v>
      </c>
      <c r="E69" s="77">
        <v>0</v>
      </c>
      <c r="F69" s="77">
        <f t="shared" si="3"/>
        <v>0</v>
      </c>
      <c r="G69" s="193"/>
      <c r="H69" s="2267"/>
      <c r="I69" s="282"/>
    </row>
    <row r="70" spans="1:9" ht="39" thickBot="1" x14ac:dyDescent="0.25">
      <c r="A70" s="1195" t="str">
        <f>F!A202</f>
        <v>F34</v>
      </c>
      <c r="B70" s="2255"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v>
      </c>
      <c r="H70" s="2271" t="s">
        <v>1231</v>
      </c>
      <c r="I70" s="283" t="s">
        <v>1232</v>
      </c>
    </row>
    <row r="71" spans="1:9" x14ac:dyDescent="0.2">
      <c r="A71" s="1173"/>
      <c r="B71" s="2256"/>
      <c r="C71" s="734" t="str">
        <f>F!C203</f>
        <v>&lt;1 m.</v>
      </c>
      <c r="D71" s="401">
        <f>F!D203</f>
        <v>0</v>
      </c>
      <c r="E71" s="76">
        <v>0</v>
      </c>
      <c r="F71" s="76">
        <f t="shared" ref="F71:F76" si="4">D71*E71</f>
        <v>0</v>
      </c>
      <c r="G71" s="191"/>
      <c r="H71" s="2266"/>
      <c r="I71" s="64"/>
    </row>
    <row r="72" spans="1:9" x14ac:dyDescent="0.2">
      <c r="A72" s="1173"/>
      <c r="B72" s="2256"/>
      <c r="C72" s="734" t="str">
        <f>F!C204</f>
        <v>1 - 9 m.</v>
      </c>
      <c r="D72" s="401">
        <f>F!D204</f>
        <v>0</v>
      </c>
      <c r="E72" s="76">
        <v>2</v>
      </c>
      <c r="F72" s="76">
        <f t="shared" si="4"/>
        <v>0</v>
      </c>
      <c r="G72" s="192"/>
      <c r="H72" s="2266"/>
      <c r="I72" s="64"/>
    </row>
    <row r="73" spans="1:9" x14ac:dyDescent="0.2">
      <c r="A73" s="1173"/>
      <c r="B73" s="2256"/>
      <c r="C73" s="734" t="str">
        <f>F!C205</f>
        <v>10 - 29 m.</v>
      </c>
      <c r="D73" s="401">
        <f>F!D205</f>
        <v>0</v>
      </c>
      <c r="E73" s="76">
        <v>3</v>
      </c>
      <c r="F73" s="76">
        <f t="shared" si="4"/>
        <v>0</v>
      </c>
      <c r="G73" s="192"/>
      <c r="H73" s="2266"/>
      <c r="I73" s="64"/>
    </row>
    <row r="74" spans="1:9" x14ac:dyDescent="0.2">
      <c r="A74" s="1173"/>
      <c r="B74" s="2256"/>
      <c r="C74" s="734" t="str">
        <f>F!C206</f>
        <v>30 - 49 m.</v>
      </c>
      <c r="D74" s="401">
        <f>F!D206</f>
        <v>0</v>
      </c>
      <c r="E74" s="76">
        <v>4</v>
      </c>
      <c r="F74" s="76">
        <f t="shared" si="4"/>
        <v>0</v>
      </c>
      <c r="G74" s="192"/>
      <c r="H74" s="2266"/>
      <c r="I74" s="64"/>
    </row>
    <row r="75" spans="1:9" x14ac:dyDescent="0.2">
      <c r="A75" s="1173"/>
      <c r="B75" s="2256"/>
      <c r="C75" s="734" t="str">
        <f>F!C207</f>
        <v>50 - 100 m.</v>
      </c>
      <c r="D75" s="401">
        <f>F!D207</f>
        <v>0</v>
      </c>
      <c r="E75" s="76">
        <v>5</v>
      </c>
      <c r="F75" s="76">
        <f t="shared" si="4"/>
        <v>0</v>
      </c>
      <c r="G75" s="192"/>
      <c r="H75" s="2266"/>
      <c r="I75" s="64"/>
    </row>
    <row r="76" spans="1:9" ht="17.25" thickBot="1" x14ac:dyDescent="0.25">
      <c r="A76" s="1174"/>
      <c r="B76" s="2257"/>
      <c r="C76" s="733" t="str">
        <f>F!C208</f>
        <v>&gt; 100 m, or open water is absent at that time.</v>
      </c>
      <c r="D76" s="480">
        <f>F!D208</f>
        <v>0</v>
      </c>
      <c r="E76" s="77">
        <v>7</v>
      </c>
      <c r="F76" s="77">
        <f t="shared" si="4"/>
        <v>0</v>
      </c>
      <c r="G76" s="193"/>
      <c r="H76" s="2267"/>
      <c r="I76" s="282"/>
    </row>
    <row r="77" spans="1:9" ht="26.25" thickBot="1" x14ac:dyDescent="0.25">
      <c r="A77" s="1194" t="str">
        <f>F!A217</f>
        <v>F36</v>
      </c>
      <c r="B77" s="2283"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271" t="s">
        <v>1233</v>
      </c>
      <c r="I77" s="283" t="s">
        <v>1234</v>
      </c>
    </row>
    <row r="78" spans="1:9" ht="25.5" x14ac:dyDescent="0.2">
      <c r="A78" s="1194"/>
      <c r="B78" s="2264"/>
      <c r="C78" s="775" t="str">
        <f>F!C218</f>
        <v>Scattered. More than 30% of such vegetation forms small islands or corridors surrounded by water.</v>
      </c>
      <c r="D78" s="797">
        <f>F!D218</f>
        <v>0</v>
      </c>
      <c r="E78" s="76">
        <v>3</v>
      </c>
      <c r="F78" s="79">
        <f>D78*E78</f>
        <v>0</v>
      </c>
      <c r="G78" s="192"/>
      <c r="H78" s="2266"/>
      <c r="I78" s="64"/>
    </row>
    <row r="79" spans="1:9" x14ac:dyDescent="0.2">
      <c r="A79" s="1194"/>
      <c r="B79" s="2264"/>
      <c r="C79" s="776" t="str">
        <f>F!C219</f>
        <v>Intermediate.</v>
      </c>
      <c r="D79" s="798">
        <f>F!D219</f>
        <v>0</v>
      </c>
      <c r="E79" s="76">
        <v>2</v>
      </c>
      <c r="F79" s="79">
        <f>D79*E79</f>
        <v>0</v>
      </c>
      <c r="G79" s="192"/>
      <c r="H79" s="2266"/>
      <c r="I79" s="64"/>
    </row>
    <row r="80" spans="1:9" ht="26.25" thickBot="1" x14ac:dyDescent="0.25">
      <c r="A80" s="1194"/>
      <c r="B80" s="2370"/>
      <c r="C80" s="788" t="str">
        <f>F!C220</f>
        <v>Clumped. More than 70% of such vegetation is in bands along the wetland perimeter or is clumped at one or a few sides of the surface water area.</v>
      </c>
      <c r="D80" s="799">
        <f>F!D220</f>
        <v>0</v>
      </c>
      <c r="E80" s="79">
        <v>0</v>
      </c>
      <c r="F80" s="79">
        <f>D80*E80</f>
        <v>0</v>
      </c>
      <c r="G80" s="211"/>
      <c r="H80" s="2267"/>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55"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271" t="s">
        <v>8620</v>
      </c>
      <c r="I82" s="283" t="s">
        <v>1236</v>
      </c>
    </row>
    <row r="83" spans="1:9" x14ac:dyDescent="0.2">
      <c r="A83" s="1173"/>
      <c r="B83" s="2256"/>
      <c r="C83" s="734" t="str">
        <f>F!C233</f>
        <v>Persistent (surface water flows out for &gt;9 months/year).</v>
      </c>
      <c r="D83" s="401">
        <f>F!D233</f>
        <v>0</v>
      </c>
      <c r="E83" s="76">
        <v>0</v>
      </c>
      <c r="F83" s="76">
        <f>D83*E83</f>
        <v>0</v>
      </c>
      <c r="G83" s="191"/>
      <c r="H83" s="2266"/>
      <c r="I83" s="64"/>
    </row>
    <row r="84" spans="1:9" ht="25.5" x14ac:dyDescent="0.2">
      <c r="A84" s="1173"/>
      <c r="B84" s="2256"/>
      <c r="C84" s="735" t="str">
        <f>F!C234</f>
        <v>Seasonal (surface water flows out for 14 days to 9 months/year, not necessarily consecutive).</v>
      </c>
      <c r="D84" s="558">
        <f>F!D234</f>
        <v>0</v>
      </c>
      <c r="E84" s="76">
        <v>2</v>
      </c>
      <c r="F84" s="76">
        <f>D84*E84</f>
        <v>0</v>
      </c>
      <c r="G84" s="192"/>
      <c r="H84" s="2266"/>
      <c r="I84" s="64"/>
    </row>
    <row r="85" spans="1:9" x14ac:dyDescent="0.2">
      <c r="A85" s="1173"/>
      <c r="B85" s="2256"/>
      <c r="C85" s="735" t="str">
        <f>F!C235</f>
        <v>Temporary (surface water flows out for &lt;14 days, not necessarily consecutive).</v>
      </c>
      <c r="D85" s="558">
        <f>F!D235</f>
        <v>0</v>
      </c>
      <c r="E85" s="76">
        <v>3</v>
      </c>
      <c r="F85" s="76">
        <f>D85*E85</f>
        <v>0</v>
      </c>
      <c r="G85" s="192"/>
      <c r="H85" s="2266"/>
      <c r="I85" s="64"/>
    </row>
    <row r="86" spans="1:9" ht="51" x14ac:dyDescent="0.2">
      <c r="A86" s="1173"/>
      <c r="B86" s="2256"/>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266"/>
      <c r="I86" s="64"/>
    </row>
    <row r="87" spans="1:9" ht="39" thickBot="1" x14ac:dyDescent="0.25">
      <c r="A87" s="1174"/>
      <c r="B87" s="2257"/>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267"/>
      <c r="I87" s="282"/>
    </row>
    <row r="88" spans="1:9" ht="26.25" thickBot="1" x14ac:dyDescent="0.25">
      <c r="A88" s="1151" t="str">
        <f>F!A239</f>
        <v>F44</v>
      </c>
      <c r="B88" s="2255"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271" t="s">
        <v>8622</v>
      </c>
      <c r="I88" s="283" t="s">
        <v>1237</v>
      </c>
    </row>
    <row r="89" spans="1:9" ht="38.25" x14ac:dyDescent="0.2">
      <c r="A89" s="1151"/>
      <c r="B89" s="2256"/>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66"/>
      <c r="I89" s="64"/>
    </row>
    <row r="90" spans="1:9" ht="25.5" x14ac:dyDescent="0.2">
      <c r="A90" s="1151"/>
      <c r="B90" s="2256"/>
      <c r="C90" s="735" t="str">
        <f>F!C241</f>
        <v>Leaves through natural exits (channels or diffuse outflow), not mainly through artificial or temporary features.</v>
      </c>
      <c r="D90" s="558">
        <f>F!D241</f>
        <v>0</v>
      </c>
      <c r="E90" s="76">
        <v>1</v>
      </c>
      <c r="F90" s="76">
        <f>D90*E90</f>
        <v>0</v>
      </c>
      <c r="G90" s="238"/>
      <c r="H90" s="2266"/>
      <c r="I90" s="64"/>
    </row>
    <row r="91" spans="1:9" ht="39" thickBot="1" x14ac:dyDescent="0.25">
      <c r="A91" s="1152"/>
      <c r="B91" s="2257"/>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267"/>
      <c r="I91" s="282"/>
    </row>
    <row r="92" spans="1:9" ht="26.25" thickBot="1" x14ac:dyDescent="0.25">
      <c r="A92" s="1173" t="str">
        <f>F!A244</f>
        <v>F45</v>
      </c>
      <c r="B92" s="2255"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271" t="s">
        <v>8623</v>
      </c>
      <c r="I92" s="283" t="s">
        <v>1238</v>
      </c>
    </row>
    <row r="93" spans="1:9" ht="38.25" x14ac:dyDescent="0.2">
      <c r="A93" s="1173"/>
      <c r="B93" s="2256"/>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66"/>
      <c r="I93" s="64"/>
    </row>
    <row r="94" spans="1:9" x14ac:dyDescent="0.2">
      <c r="A94" s="1173"/>
      <c r="B94" s="2256"/>
      <c r="C94" s="735" t="str">
        <f>F!C246</f>
        <v>Bumps into herbaceous vegetation but mostly remains in fairly straight channels.</v>
      </c>
      <c r="D94" s="558">
        <f>F!D246</f>
        <v>0</v>
      </c>
      <c r="E94" s="76">
        <v>1</v>
      </c>
      <c r="F94" s="76">
        <f>D94*E94</f>
        <v>0</v>
      </c>
      <c r="G94" s="192"/>
      <c r="H94" s="2266"/>
      <c r="I94" s="64"/>
    </row>
    <row r="95" spans="1:9" ht="25.5" x14ac:dyDescent="0.2">
      <c r="A95" s="1173"/>
      <c r="B95" s="2256"/>
      <c r="C95" s="735" t="str">
        <f>F!C247</f>
        <v>Bumps into herbaceous vegetation and mostly spreads throughout, or is in widely meandering, multi-branched, or braided channels.</v>
      </c>
      <c r="D95" s="558">
        <f>F!D247</f>
        <v>0</v>
      </c>
      <c r="E95" s="76">
        <v>2</v>
      </c>
      <c r="F95" s="76">
        <f>D95*E95</f>
        <v>0</v>
      </c>
      <c r="G95" s="192"/>
      <c r="H95" s="2266"/>
      <c r="I95" s="64"/>
    </row>
    <row r="96" spans="1:9" s="2" customFormat="1" ht="12.75" x14ac:dyDescent="0.2">
      <c r="A96" s="1173"/>
      <c r="B96" s="2256"/>
      <c r="C96" s="735" t="str">
        <f>F!C248</f>
        <v>Bumps into tree trunks and/or shrub stems but mostly remains in fairly straight channels.</v>
      </c>
      <c r="D96" s="558">
        <f>F!D248</f>
        <v>0</v>
      </c>
      <c r="E96" s="76">
        <v>3</v>
      </c>
      <c r="F96" s="76">
        <f>D96*E96</f>
        <v>0</v>
      </c>
      <c r="G96" s="192"/>
      <c r="H96" s="2266"/>
      <c r="I96" s="64"/>
    </row>
    <row r="97" spans="1:10" s="2" customFormat="1" ht="33" customHeight="1" thickBot="1" x14ac:dyDescent="0.25">
      <c r="A97" s="1174"/>
      <c r="B97" s="2257"/>
      <c r="C97" s="736" t="str">
        <f>F!C249</f>
        <v>Bumps into tree trunks and/or shrub stems and follows a fairly indirect path from entrance to exit (meandering, multi-branched, or braided).</v>
      </c>
      <c r="D97" s="794">
        <f>F!D249</f>
        <v>0</v>
      </c>
      <c r="E97" s="77">
        <v>4</v>
      </c>
      <c r="F97" s="77">
        <f>D97*E97</f>
        <v>0</v>
      </c>
      <c r="G97" s="193"/>
      <c r="H97" s="2267"/>
      <c r="I97" s="282"/>
    </row>
    <row r="98" spans="1:10" s="2" customFormat="1" ht="21" customHeight="1" thickBot="1" x14ac:dyDescent="0.25">
      <c r="A98" s="1150" t="str">
        <f>F!A337</f>
        <v>F65</v>
      </c>
      <c r="B98" s="2255" t="str">
        <f>F!B337</f>
        <v>pH Measurement [PR, NR, CSP, APP, FA, FR, AM, WBN, Sens]</v>
      </c>
      <c r="C98" s="625" t="str">
        <f>F!C337</f>
        <v>The pH in most of the AA's surface water:</v>
      </c>
      <c r="D98" s="865"/>
      <c r="E98" s="80"/>
      <c r="F98" s="81"/>
      <c r="G98" s="165">
        <f>IF((D101=1),"",IF((D100=1),0.5,IF((D99=""),"",IF((D99&gt;0&lt;5),1,IF((D99&gt;9),1,"")))))</f>
        <v>0.5</v>
      </c>
      <c r="H98" s="2271" t="s">
        <v>8850</v>
      </c>
      <c r="I98" s="283" t="s">
        <v>1239</v>
      </c>
    </row>
    <row r="99" spans="1:10" s="2" customFormat="1" ht="21" customHeight="1" thickBot="1" x14ac:dyDescent="0.25">
      <c r="A99" s="1151"/>
      <c r="B99" s="2256"/>
      <c r="C99" s="678" t="str">
        <f>F!C338</f>
        <v>Was measured, and is:  [enter the reading in the column to the right.]</v>
      </c>
      <c r="D99" s="550" t="str">
        <f>IF((F!D338=""),"",F!D338)</f>
        <v/>
      </c>
      <c r="E99" s="86"/>
      <c r="F99" s="76"/>
      <c r="G99" s="243"/>
      <c r="H99" s="2266"/>
      <c r="I99" s="64"/>
      <c r="J99" s="2022"/>
    </row>
    <row r="100" spans="1:10" ht="38.25" x14ac:dyDescent="0.2">
      <c r="A100" s="1151"/>
      <c r="B100" s="2256"/>
      <c r="C100" s="792" t="str">
        <f>F!C339</f>
        <v xml:space="preserve">Was not measured but surface water is present and is darkly tea-coloured.  Or if no surface water, then mosses and plants that indicate peatland (e.g., Labrador tea) are prevalent. Enter "1". </v>
      </c>
      <c r="D100" s="797">
        <f>F!D339</f>
        <v>1</v>
      </c>
      <c r="E100" s="76"/>
      <c r="F100" s="76"/>
      <c r="G100" s="181"/>
      <c r="H100" s="2266"/>
      <c r="I100" s="64"/>
    </row>
    <row r="101" spans="1:10" ht="17.25" thickBot="1" x14ac:dyDescent="0.25">
      <c r="A101" s="1151"/>
      <c r="B101" s="2256"/>
      <c r="C101" s="679" t="str">
        <f>F!C340</f>
        <v>Neither of above. Enter "1".</v>
      </c>
      <c r="D101" s="557">
        <f>F!D340</f>
        <v>0</v>
      </c>
      <c r="E101" s="79"/>
      <c r="F101" s="79"/>
      <c r="G101" s="242"/>
      <c r="H101" s="2266"/>
      <c r="I101" s="282"/>
    </row>
    <row r="102" spans="1:10" ht="17.25" thickBot="1" x14ac:dyDescent="0.25">
      <c r="A102" s="1150" t="str">
        <f>F!A260</f>
        <v>F49</v>
      </c>
      <c r="B102" s="2255" t="str">
        <f>F!B260</f>
        <v>Internal Gradient [WS, SR, PR, NR, OE, WBF, WBN]</v>
      </c>
      <c r="C102" s="723" t="str">
        <f>F!C260</f>
        <v>The gradient along most of the flow path within the AA is:</v>
      </c>
      <c r="D102" s="808"/>
      <c r="E102" s="80"/>
      <c r="F102" s="81"/>
      <c r="G102" s="165">
        <f>MAX(F103:F106)/MAX(E103:E106)</f>
        <v>0</v>
      </c>
      <c r="H102" s="2271" t="s">
        <v>8624</v>
      </c>
      <c r="I102" s="283" t="s">
        <v>1240</v>
      </c>
    </row>
    <row r="103" spans="1:10" x14ac:dyDescent="0.2">
      <c r="A103" s="1151"/>
      <c r="B103" s="2256"/>
      <c r="C103" s="734" t="str">
        <f>F!C261</f>
        <v>&lt;2% or the AA has no surface water outlet (not even seasonally).</v>
      </c>
      <c r="D103" s="401">
        <f>F!D261</f>
        <v>0</v>
      </c>
      <c r="E103" s="76">
        <v>4</v>
      </c>
      <c r="F103" s="76">
        <f>D103*E103</f>
        <v>0</v>
      </c>
      <c r="G103" s="191"/>
      <c r="H103" s="2266"/>
      <c r="I103" s="64"/>
    </row>
    <row r="104" spans="1:10" x14ac:dyDescent="0.2">
      <c r="A104" s="1151"/>
      <c r="B104" s="2256"/>
      <c r="C104" s="735" t="str">
        <f>F!C262</f>
        <v>2-5%.</v>
      </c>
      <c r="D104" s="558">
        <f>F!D262</f>
        <v>0</v>
      </c>
      <c r="E104" s="76">
        <v>3</v>
      </c>
      <c r="F104" s="76">
        <f>D104*E104</f>
        <v>0</v>
      </c>
      <c r="G104" s="191"/>
      <c r="H104" s="2266"/>
      <c r="I104" s="64"/>
    </row>
    <row r="105" spans="1:10" x14ac:dyDescent="0.2">
      <c r="A105" s="1151"/>
      <c r="B105" s="2256"/>
      <c r="C105" s="735" t="str">
        <f>F!C263</f>
        <v>6-10%.</v>
      </c>
      <c r="D105" s="558">
        <f>F!D263</f>
        <v>0</v>
      </c>
      <c r="E105" s="76">
        <v>2</v>
      </c>
      <c r="F105" s="76">
        <f>D105*E105</f>
        <v>0</v>
      </c>
      <c r="G105" s="192"/>
      <c r="H105" s="2266"/>
      <c r="I105" s="64"/>
    </row>
    <row r="106" spans="1:10" ht="17.25" thickBot="1" x14ac:dyDescent="0.25">
      <c r="A106" s="1152"/>
      <c r="B106" s="2257"/>
      <c r="C106" s="736" t="str">
        <f>F!C264</f>
        <v>&gt;10%.</v>
      </c>
      <c r="D106" s="794">
        <f>F!D264</f>
        <v>0</v>
      </c>
      <c r="E106" s="77">
        <v>0</v>
      </c>
      <c r="F106" s="77">
        <f>D106*E106</f>
        <v>0</v>
      </c>
      <c r="G106" s="193"/>
      <c r="H106" s="2267"/>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f>IF((F!D332=""),"", IF((D107=1),1,0))</f>
        <v>0</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v>
      </c>
      <c r="E109" s="92"/>
      <c r="F109" s="82"/>
      <c r="G109" s="184">
        <f>1-D109</f>
        <v>1</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1244</v>
      </c>
      <c r="I110" s="279" t="s">
        <v>1245</v>
      </c>
    </row>
    <row r="111" spans="1:10" ht="39" thickBot="1" x14ac:dyDescent="0.25">
      <c r="A111" s="1155" t="str">
        <f>OF!A111</f>
        <v>OF20</v>
      </c>
      <c r="B111" s="2256"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1</v>
      </c>
      <c r="H111" s="2266" t="s">
        <v>1246</v>
      </c>
      <c r="I111" s="283" t="s">
        <v>1247</v>
      </c>
    </row>
    <row r="112" spans="1:10" x14ac:dyDescent="0.2">
      <c r="A112" s="1155"/>
      <c r="B112" s="2256"/>
      <c r="C112" s="678" t="str">
        <f>OF!C112</f>
        <v>The condition is present within the AA.</v>
      </c>
      <c r="D112" s="401">
        <f>OF!D112</f>
        <v>0</v>
      </c>
      <c r="E112" s="76"/>
      <c r="F112" s="76"/>
      <c r="G112" s="181"/>
      <c r="H112" s="2266"/>
      <c r="I112" s="64"/>
    </row>
    <row r="113" spans="1:10" ht="25.5" x14ac:dyDescent="0.2">
      <c r="A113" s="1155"/>
      <c r="B113" s="2256"/>
      <c r="C113" s="266" t="str">
        <f>OF!C113</f>
        <v>The condition is present in waters within 1 km that flow into the AA, but has not been documented in the AA itself.</v>
      </c>
      <c r="D113" s="558">
        <f>OF!D113</f>
        <v>0</v>
      </c>
      <c r="E113" s="76"/>
      <c r="F113" s="76"/>
      <c r="G113" s="181"/>
      <c r="H113" s="2266"/>
      <c r="I113" s="64"/>
    </row>
    <row r="114" spans="1:10" ht="25.5" x14ac:dyDescent="0.2">
      <c r="A114" s="1155"/>
      <c r="B114" s="2256"/>
      <c r="C114" s="266" t="str">
        <f>OF!C114</f>
        <v>Sampling during both low water periods and times with high runoff (storms, snowmelt) indicates no problems in either the AA or inflowing waters.</v>
      </c>
      <c r="D114" s="558">
        <f>OF!D114</f>
        <v>0</v>
      </c>
      <c r="E114" s="76"/>
      <c r="F114" s="76"/>
      <c r="G114" s="181"/>
      <c r="H114" s="2266"/>
      <c r="I114" s="64"/>
    </row>
    <row r="115" spans="1:10" ht="26.25" thickBot="1" x14ac:dyDescent="0.25">
      <c r="A115" s="1157"/>
      <c r="B115" s="2257"/>
      <c r="C115" s="387" t="str">
        <f>OF!C115</f>
        <v>Data are insufficient (no or inadequate sampling within 1 km, or condition exists only at &gt;1 km upstream). This is the situation for nearly all wetlands in this region.</v>
      </c>
      <c r="D115" s="794">
        <f>OF!D115</f>
        <v>0</v>
      </c>
      <c r="E115" s="77"/>
      <c r="F115" s="77"/>
      <c r="G115" s="181"/>
      <c r="H115" s="2267"/>
      <c r="I115" s="282"/>
    </row>
    <row r="116" spans="1:10" ht="17.25" thickBot="1" x14ac:dyDescent="0.25">
      <c r="A116" s="1154" t="str">
        <f>OF!A116</f>
        <v>OF21</v>
      </c>
      <c r="B116" s="2255" t="str">
        <f>OF!B116</f>
        <v>Degraded Water Downstream [SRb, PRb, NRb]</v>
      </c>
      <c r="C116" s="625" t="str">
        <f>OF!C116</f>
        <v>The problem described above is downslope from the AA, and:</v>
      </c>
      <c r="D116" s="801"/>
      <c r="E116" s="80"/>
      <c r="F116" s="81"/>
      <c r="G116" s="184">
        <f>IF((D120=1),"", IF((D119=1),0, IF((D118=1),0.5, 1)))</f>
        <v>1</v>
      </c>
      <c r="H116" s="2271" t="s">
        <v>1148</v>
      </c>
      <c r="I116" s="283" t="s">
        <v>1248</v>
      </c>
    </row>
    <row r="117" spans="1:10" x14ac:dyDescent="0.2">
      <c r="A117" s="1155"/>
      <c r="B117" s="2256"/>
      <c r="C117" s="678" t="str">
        <f>OF!C117</f>
        <v>The condition is present within 1 km downslope and connected to the AA by a channel.</v>
      </c>
      <c r="D117" s="401">
        <f>OF!D117</f>
        <v>0</v>
      </c>
      <c r="E117" s="76"/>
      <c r="F117" s="76"/>
      <c r="G117" s="243"/>
      <c r="H117" s="2266"/>
      <c r="I117" s="64"/>
    </row>
    <row r="118" spans="1:10" ht="25.5" x14ac:dyDescent="0.2">
      <c r="A118" s="1155"/>
      <c r="B118" s="2256"/>
      <c r="C118" s="266" t="str">
        <f>OF!C118</f>
        <v>The condition is present within 5 km downslope and connected to the AA by a channel, or within 1 km but not connected to the AA by a channel.</v>
      </c>
      <c r="D118" s="558">
        <f>OF!D118</f>
        <v>0</v>
      </c>
      <c r="E118" s="76"/>
      <c r="F118" s="76"/>
      <c r="G118" s="181"/>
      <c r="H118" s="2266"/>
      <c r="I118" s="64"/>
    </row>
    <row r="119" spans="1:10" ht="25.5" x14ac:dyDescent="0.2">
      <c r="A119" s="1155"/>
      <c r="B119" s="2256"/>
      <c r="C119" s="266" t="str">
        <f>OF!C119</f>
        <v>Sampling during both low water periods and times with high runoff (storms, snowmelt) indicates no problems in either the AA or inflowing waters.</v>
      </c>
      <c r="D119" s="558">
        <f>OF!D119</f>
        <v>0</v>
      </c>
      <c r="E119" s="76"/>
      <c r="F119" s="76"/>
      <c r="G119" s="181"/>
      <c r="H119" s="2266"/>
      <c r="I119" s="64"/>
    </row>
    <row r="120" spans="1:10" ht="39" thickBot="1" x14ac:dyDescent="0.25">
      <c r="A120" s="1157"/>
      <c r="B120" s="2257"/>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267"/>
      <c r="I120" s="282"/>
    </row>
    <row r="121" spans="1:10" ht="90" thickBot="1" x14ac:dyDescent="0.25">
      <c r="A121" s="1168" t="str">
        <f>OF!A121</f>
        <v>OF22</v>
      </c>
      <c r="B121" s="2255"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v>
      </c>
      <c r="H121" s="2271" t="s">
        <v>1249</v>
      </c>
      <c r="I121" s="283" t="s">
        <v>1250</v>
      </c>
    </row>
    <row r="122" spans="1:10" ht="25.5" x14ac:dyDescent="0.2">
      <c r="A122" s="1168"/>
      <c r="B122" s="2256"/>
      <c r="C122" s="734" t="str">
        <f>OF!C122</f>
        <v>&lt;0.01, or catchment size unknown due to stormwater pipes that collect water from an indeterminate area.</v>
      </c>
      <c r="D122" s="401">
        <f>OF!D122</f>
        <v>0</v>
      </c>
      <c r="E122" s="76">
        <v>3</v>
      </c>
      <c r="F122" s="76">
        <f t="shared" ref="F122:F133" si="5">D122*E122</f>
        <v>0</v>
      </c>
      <c r="G122" s="191"/>
      <c r="H122" s="2266"/>
      <c r="I122" s="64"/>
    </row>
    <row r="123" spans="1:10" x14ac:dyDescent="0.2">
      <c r="A123" s="1168"/>
      <c r="B123" s="2256"/>
      <c r="C123" s="735" t="str">
        <f>OF!C123</f>
        <v>0.01 to 0.1.</v>
      </c>
      <c r="D123" s="558">
        <f>OF!D123</f>
        <v>0</v>
      </c>
      <c r="E123" s="76">
        <v>2</v>
      </c>
      <c r="F123" s="76">
        <f t="shared" si="5"/>
        <v>0</v>
      </c>
      <c r="G123" s="192"/>
      <c r="H123" s="2266"/>
      <c r="I123" s="64"/>
    </row>
    <row r="124" spans="1:10" x14ac:dyDescent="0.2">
      <c r="A124" s="1168"/>
      <c r="B124" s="2256"/>
      <c r="C124" s="735" t="str">
        <f>OF!C124</f>
        <v>0.1 to 1.</v>
      </c>
      <c r="D124" s="558">
        <f>OF!D124</f>
        <v>0</v>
      </c>
      <c r="E124" s="76">
        <v>1</v>
      </c>
      <c r="F124" s="76">
        <f t="shared" si="5"/>
        <v>0</v>
      </c>
      <c r="G124" s="192"/>
      <c r="H124" s="2266"/>
      <c r="I124" s="64"/>
    </row>
    <row r="125" spans="1:10" ht="26.25" thickBot="1" x14ac:dyDescent="0.25">
      <c r="A125" s="1169"/>
      <c r="B125" s="2257"/>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267"/>
      <c r="I125" s="282"/>
    </row>
    <row r="126" spans="1:10" ht="49.5" customHeight="1" thickBot="1" x14ac:dyDescent="0.25">
      <c r="A126" s="1167" t="str">
        <f>OF!A127</f>
        <v>OF23</v>
      </c>
      <c r="B126" s="2255"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271" t="s">
        <v>8851</v>
      </c>
      <c r="I126" s="283" t="s">
        <v>1251</v>
      </c>
    </row>
    <row r="127" spans="1:10" ht="21.75" customHeight="1" x14ac:dyDescent="0.2">
      <c r="A127" s="1168"/>
      <c r="B127" s="2256"/>
      <c r="C127" s="734" t="str">
        <f>OF!C128</f>
        <v>&lt;10%.</v>
      </c>
      <c r="D127" s="401">
        <f>OF!D128</f>
        <v>0</v>
      </c>
      <c r="E127" s="76">
        <v>0</v>
      </c>
      <c r="F127" s="76">
        <f t="shared" si="5"/>
        <v>0</v>
      </c>
      <c r="G127" s="191"/>
      <c r="H127" s="2266"/>
      <c r="I127" s="64"/>
    </row>
    <row r="128" spans="1:10" ht="23.25" customHeight="1" x14ac:dyDescent="0.2">
      <c r="A128" s="1168"/>
      <c r="B128" s="2256"/>
      <c r="C128" s="735" t="str">
        <f>OF!C129</f>
        <v>10 to 25%.</v>
      </c>
      <c r="D128" s="558">
        <f>OF!D129</f>
        <v>0</v>
      </c>
      <c r="E128" s="76">
        <v>1</v>
      </c>
      <c r="F128" s="76">
        <f t="shared" si="5"/>
        <v>0</v>
      </c>
      <c r="G128" s="192"/>
      <c r="H128" s="2266"/>
      <c r="I128" s="64"/>
      <c r="J128" s="256"/>
    </row>
    <row r="129" spans="1:10" ht="25.5" customHeight="1" thickBot="1" x14ac:dyDescent="0.25">
      <c r="A129" s="1169"/>
      <c r="B129" s="2257"/>
      <c r="C129" s="736" t="str">
        <f>OF!C130</f>
        <v>&gt;25%.</v>
      </c>
      <c r="D129" s="794">
        <f>OF!D130</f>
        <v>0</v>
      </c>
      <c r="E129" s="77">
        <v>2</v>
      </c>
      <c r="F129" s="77">
        <f t="shared" si="5"/>
        <v>0</v>
      </c>
      <c r="G129" s="193"/>
      <c r="H129" s="2267"/>
      <c r="I129" s="282"/>
    </row>
    <row r="130" spans="1:10" ht="128.25" thickBot="1" x14ac:dyDescent="0.25">
      <c r="A130" s="1168" t="str">
        <f>OF!A131</f>
        <v>OF24</v>
      </c>
      <c r="B130" s="2255"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v>
      </c>
      <c r="H130" s="2271" t="s">
        <v>1252</v>
      </c>
      <c r="I130" s="283" t="s">
        <v>1253</v>
      </c>
    </row>
    <row r="131" spans="1:10" x14ac:dyDescent="0.2">
      <c r="A131" s="1168"/>
      <c r="B131" s="2256"/>
      <c r="C131" s="734" t="str">
        <f>OF!C132</f>
        <v>Mostly true.</v>
      </c>
      <c r="D131" s="401">
        <f>OF!D132</f>
        <v>0</v>
      </c>
      <c r="E131" s="76">
        <v>2</v>
      </c>
      <c r="F131" s="76">
        <f t="shared" si="5"/>
        <v>0</v>
      </c>
      <c r="G131" s="191"/>
      <c r="H131" s="2266"/>
      <c r="I131" s="64"/>
    </row>
    <row r="132" spans="1:10" x14ac:dyDescent="0.2">
      <c r="A132" s="1168"/>
      <c r="B132" s="2256"/>
      <c r="C132" s="735" t="str">
        <f>OF!C133</f>
        <v>Somewhat true.</v>
      </c>
      <c r="D132" s="558">
        <f>OF!D133</f>
        <v>0</v>
      </c>
      <c r="E132" s="76">
        <v>1</v>
      </c>
      <c r="F132" s="76">
        <f t="shared" si="5"/>
        <v>0</v>
      </c>
      <c r="G132" s="192"/>
      <c r="H132" s="2266"/>
      <c r="I132" s="64"/>
    </row>
    <row r="133" spans="1:10" s="2" customFormat="1" ht="13.5" thickBot="1" x14ac:dyDescent="0.25">
      <c r="A133" s="1168"/>
      <c r="B133" s="2257"/>
      <c r="C133" s="740" t="str">
        <f>OF!C134</f>
        <v>Mostly untrue.</v>
      </c>
      <c r="D133" s="557">
        <f>OF!D134</f>
        <v>0</v>
      </c>
      <c r="E133" s="79">
        <v>0</v>
      </c>
      <c r="F133" s="79">
        <f t="shared" si="5"/>
        <v>0</v>
      </c>
      <c r="G133" s="211"/>
      <c r="H133" s="2267"/>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1254</v>
      </c>
      <c r="I134" s="4" t="s">
        <v>1255</v>
      </c>
    </row>
    <row r="135" spans="1:10" ht="17.25" thickBot="1" x14ac:dyDescent="0.25">
      <c r="A135" s="1183" t="str">
        <f>F!A255</f>
        <v>F48</v>
      </c>
      <c r="B135" s="2256" t="str">
        <f>F!B255</f>
        <v>Groundwater Strength of Evidence [WS, SFTS, PRb, NR, APP, FA, FR, AM]</v>
      </c>
      <c r="C135" s="733" t="str">
        <f>F!C255</f>
        <v>Select first applicable choice:</v>
      </c>
      <c r="D135" s="796"/>
      <c r="E135" s="155"/>
      <c r="F135" s="155"/>
      <c r="G135" s="183">
        <f>MAX(F136:F138)/MAX(E136:E138)</f>
        <v>0</v>
      </c>
      <c r="H135" s="2271" t="s">
        <v>1256</v>
      </c>
      <c r="I135" s="283" t="s">
        <v>1257</v>
      </c>
    </row>
    <row r="136" spans="1:10" ht="43.5" customHeight="1" x14ac:dyDescent="0.2">
      <c r="A136" s="1183"/>
      <c r="B136" s="2256"/>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66"/>
      <c r="I136" s="64"/>
    </row>
    <row r="137" spans="1:10" ht="38.25" x14ac:dyDescent="0.2">
      <c r="A137" s="1183"/>
      <c r="B137" s="2256"/>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266"/>
      <c r="I137" s="64"/>
    </row>
    <row r="138" spans="1:10" ht="26.25" thickBot="1" x14ac:dyDescent="0.25">
      <c r="A138" s="1184"/>
      <c r="B138" s="2257"/>
      <c r="C138" s="736" t="str">
        <f>F!C258</f>
        <v>Neither of above is true, although some groundwater may discharge to or flow through the AA. Or groundwater influx is unknown.</v>
      </c>
      <c r="D138" s="794">
        <f>F!D258</f>
        <v>0</v>
      </c>
      <c r="E138" s="342">
        <v>0</v>
      </c>
      <c r="F138" s="342">
        <f>D138*E138</f>
        <v>0</v>
      </c>
      <c r="G138" s="580"/>
      <c r="H138" s="2267"/>
      <c r="I138" s="282"/>
    </row>
    <row r="139" spans="1:10" ht="39" thickBot="1" x14ac:dyDescent="0.25">
      <c r="A139" s="1182" t="str">
        <f>F!A266</f>
        <v>F50</v>
      </c>
      <c r="B139" s="2255"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v>
      </c>
      <c r="H139" s="2271" t="s">
        <v>8852</v>
      </c>
      <c r="I139" s="283" t="s">
        <v>1258</v>
      </c>
      <c r="J139" s="256"/>
    </row>
    <row r="140" spans="1:10" ht="12.75" x14ac:dyDescent="0.2">
      <c r="A140" s="1183"/>
      <c r="B140" s="2256"/>
      <c r="C140" s="741" t="str">
        <f>F!C267</f>
        <v>&lt;5%.</v>
      </c>
      <c r="D140" s="803">
        <f>F!D267</f>
        <v>0</v>
      </c>
      <c r="E140" s="76">
        <v>4</v>
      </c>
      <c r="F140" s="76">
        <f>D140*E140</f>
        <v>0</v>
      </c>
      <c r="G140" s="191"/>
      <c r="H140" s="2266"/>
      <c r="I140" s="64"/>
      <c r="J140"/>
    </row>
    <row r="141" spans="1:10" x14ac:dyDescent="0.2">
      <c r="A141" s="1183"/>
      <c r="B141" s="2256"/>
      <c r="C141" s="735" t="str">
        <f>F!C268</f>
        <v>5 to &lt;30%.</v>
      </c>
      <c r="D141" s="558">
        <f>F!D268</f>
        <v>0</v>
      </c>
      <c r="E141" s="76">
        <v>3</v>
      </c>
      <c r="F141" s="76">
        <f>D141*E141</f>
        <v>0</v>
      </c>
      <c r="G141" s="192"/>
      <c r="H141" s="2266"/>
      <c r="I141" s="64"/>
    </row>
    <row r="142" spans="1:10" ht="12.75" x14ac:dyDescent="0.2">
      <c r="A142" s="1183"/>
      <c r="B142" s="2256"/>
      <c r="C142" s="735" t="str">
        <f>F!C269</f>
        <v>30 to &lt;60%.</v>
      </c>
      <c r="D142" s="558">
        <f>F!D269</f>
        <v>0</v>
      </c>
      <c r="E142" s="76">
        <v>2</v>
      </c>
      <c r="F142" s="76">
        <f>D142*E142</f>
        <v>0</v>
      </c>
      <c r="G142" s="192"/>
      <c r="H142" s="2266"/>
      <c r="I142" s="64"/>
      <c r="J142" s="256"/>
    </row>
    <row r="143" spans="1:10" x14ac:dyDescent="0.2">
      <c r="A143" s="1183"/>
      <c r="B143" s="2256"/>
      <c r="C143" s="735" t="str">
        <f>F!C270</f>
        <v>60 to 90%.</v>
      </c>
      <c r="D143" s="558">
        <f>F!D270</f>
        <v>0</v>
      </c>
      <c r="E143" s="76">
        <v>1</v>
      </c>
      <c r="F143" s="76">
        <f>D143*E143</f>
        <v>0</v>
      </c>
      <c r="G143" s="192"/>
      <c r="H143" s="2266"/>
      <c r="I143" s="64"/>
    </row>
    <row r="144" spans="1:10" ht="17.25" thickBot="1" x14ac:dyDescent="0.25">
      <c r="A144" s="1184"/>
      <c r="B144" s="2257"/>
      <c r="C144" s="733" t="str">
        <f>F!C271</f>
        <v>&gt;90%, or all the area within 30 m of the AA edge is other wetlands. SKIP to F53.</v>
      </c>
      <c r="D144" s="480">
        <f>F!D271</f>
        <v>0</v>
      </c>
      <c r="E144" s="77">
        <v>0</v>
      </c>
      <c r="F144" s="77">
        <f>D144*E144</f>
        <v>0</v>
      </c>
      <c r="G144" s="193"/>
      <c r="H144" s="2267"/>
      <c r="I144" s="282"/>
    </row>
    <row r="145" spans="1:10" ht="26.25" thickBot="1" x14ac:dyDescent="0.25">
      <c r="A145" s="1183" t="str">
        <f>F!A275</f>
        <v>F52</v>
      </c>
      <c r="B145" s="2255"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v>
      </c>
      <c r="H145" s="2271" t="s">
        <v>1259</v>
      </c>
      <c r="I145" s="283" t="s">
        <v>1260</v>
      </c>
    </row>
    <row r="146" spans="1:10" ht="25.5" x14ac:dyDescent="0.2">
      <c r="A146" s="1183"/>
      <c r="B146" s="2256"/>
      <c r="C146" s="739" t="str">
        <f>F!C276</f>
        <v>&lt;1% (flat -- almost no noticeable slope) or all the area within 30 m of the AA edge is other wetlands.</v>
      </c>
      <c r="D146" s="479">
        <f>F!D276</f>
        <v>0</v>
      </c>
      <c r="E146" s="76">
        <v>0</v>
      </c>
      <c r="F146" s="76">
        <f>D146*E146</f>
        <v>0</v>
      </c>
      <c r="G146" s="191"/>
      <c r="H146" s="2266"/>
      <c r="I146" s="64"/>
    </row>
    <row r="147" spans="1:10" x14ac:dyDescent="0.2">
      <c r="A147" s="1183"/>
      <c r="B147" s="2256"/>
      <c r="C147" s="735" t="str">
        <f>F!C277</f>
        <v>2-5%.</v>
      </c>
      <c r="D147" s="558">
        <f>F!D277</f>
        <v>0</v>
      </c>
      <c r="E147" s="76">
        <v>1</v>
      </c>
      <c r="F147" s="76">
        <f>D147*E147</f>
        <v>0</v>
      </c>
      <c r="G147" s="192"/>
      <c r="H147" s="2266"/>
      <c r="I147" s="64"/>
    </row>
    <row r="148" spans="1:10" x14ac:dyDescent="0.2">
      <c r="A148" s="1183"/>
      <c r="B148" s="2256"/>
      <c r="C148" s="735" t="str">
        <f>F!C278</f>
        <v>5-30%.</v>
      </c>
      <c r="D148" s="558">
        <f>F!D278</f>
        <v>0</v>
      </c>
      <c r="E148" s="76">
        <v>2</v>
      </c>
      <c r="F148" s="76">
        <f>D148*E148</f>
        <v>0</v>
      </c>
      <c r="G148" s="192"/>
      <c r="H148" s="2266"/>
      <c r="I148" s="64"/>
    </row>
    <row r="149" spans="1:10" ht="17.25" thickBot="1" x14ac:dyDescent="0.25">
      <c r="A149" s="1184"/>
      <c r="B149" s="2257"/>
      <c r="C149" s="736" t="str">
        <f>F!C279</f>
        <v>&gt;30%.</v>
      </c>
      <c r="D149" s="794">
        <f>F!D279</f>
        <v>0</v>
      </c>
      <c r="E149" s="77">
        <v>3</v>
      </c>
      <c r="F149" s="77">
        <f>D149*E149</f>
        <v>0</v>
      </c>
      <c r="G149" s="193"/>
      <c r="H149" s="2267"/>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271"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267"/>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98"/>
      <c r="D154" s="2389" t="s">
        <v>1263</v>
      </c>
      <c r="E154" s="2390"/>
      <c r="F154" s="2391"/>
      <c r="G154" s="655">
        <f>AVERAGE(Gradient3, FlowDist3,AVERAGE(Girreg3,Gcover3,CApctB3))</f>
        <v>0</v>
      </c>
      <c r="H154" s="656" t="s">
        <v>1264</v>
      </c>
      <c r="I154" s="673" t="s">
        <v>1265</v>
      </c>
      <c r="J154" s="297" t="s">
        <v>1266</v>
      </c>
    </row>
    <row r="155" spans="1:10" ht="51" x14ac:dyDescent="0.2">
      <c r="A155" s="285"/>
      <c r="B155" s="285"/>
      <c r="C155" s="2399"/>
      <c r="D155" s="2384" t="s">
        <v>1267</v>
      </c>
      <c r="E155" s="2385"/>
      <c r="F155" s="2386"/>
      <c r="G155" s="657">
        <f>IF((AllSat1=1),"",AVERAGE(VegWabs3,MAX(ThruFlo3,AqPlantCov3,Interspers3,PondedPct3)))</f>
        <v>0</v>
      </c>
      <c r="H155" s="658" t="s">
        <v>8549</v>
      </c>
      <c r="I155" s="674" t="s">
        <v>1268</v>
      </c>
      <c r="J155" s="295" t="s">
        <v>1269</v>
      </c>
    </row>
    <row r="156" spans="1:10" ht="25.5" x14ac:dyDescent="0.2">
      <c r="A156" s="285"/>
      <c r="B156" s="285"/>
      <c r="C156" s="2399"/>
      <c r="D156" s="2384" t="s">
        <v>1270</v>
      </c>
      <c r="E156" s="2385"/>
      <c r="F156" s="2386"/>
      <c r="G156" s="657">
        <f>AVERAGE(OutDura3,Gradient3,Constric3,FlowDist3)</f>
        <v>0</v>
      </c>
      <c r="H156" s="658" t="s">
        <v>1271</v>
      </c>
      <c r="I156" s="674" t="s">
        <v>1272</v>
      </c>
      <c r="J156" s="291" t="s">
        <v>1273</v>
      </c>
    </row>
    <row r="157" spans="1:10" ht="12.75" x14ac:dyDescent="0.2">
      <c r="A157" s="285"/>
      <c r="B157" s="285"/>
      <c r="C157" s="2399"/>
      <c r="D157" s="2384" t="s">
        <v>1274</v>
      </c>
      <c r="E157" s="2385"/>
      <c r="F157" s="2386"/>
      <c r="G157" s="657">
        <f>AVERAGE(SoilTex3, Acidity3,CalcFen3)</f>
        <v>0.16666666666666666</v>
      </c>
      <c r="H157" s="658" t="s">
        <v>1275</v>
      </c>
      <c r="I157" s="674" t="s">
        <v>1276</v>
      </c>
      <c r="J157" s="295" t="s">
        <v>1277</v>
      </c>
    </row>
    <row r="158" spans="1:10" ht="26.25" thickBot="1" x14ac:dyDescent="0.25">
      <c r="A158" s="285"/>
      <c r="B158" s="285"/>
      <c r="C158" s="2400"/>
      <c r="D158" s="2401" t="s">
        <v>1278</v>
      </c>
      <c r="E158" s="2402"/>
      <c r="F158" s="2403"/>
      <c r="G158" s="659">
        <f>AVERAGE(SatPct3,Persis3,DomDepth3,Fluctu3,Algae3)</f>
        <v>0</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0.41666666666666663</v>
      </c>
      <c r="H159" s="2288" t="s">
        <v>9144</v>
      </c>
      <c r="I159" s="2397"/>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 ref="H3:H7"/>
    <mergeCell ref="H8:H14"/>
    <mergeCell ref="A16:A21"/>
    <mergeCell ref="H63:H69"/>
    <mergeCell ref="H92:H97"/>
    <mergeCell ref="H77:H80"/>
    <mergeCell ref="H45:H50"/>
    <mergeCell ref="B51:B56"/>
    <mergeCell ref="H51:H56"/>
    <mergeCell ref="H57:H62"/>
    <mergeCell ref="B57:B62"/>
    <mergeCell ref="A57:A62"/>
    <mergeCell ref="A1:B1"/>
    <mergeCell ref="D154:F154"/>
    <mergeCell ref="D155:F155"/>
    <mergeCell ref="A8:A14"/>
    <mergeCell ref="A3:A7"/>
    <mergeCell ref="B102:B106"/>
    <mergeCell ref="B121:B125"/>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H102:H106"/>
    <mergeCell ref="H111:H115"/>
    <mergeCell ref="B116:B120"/>
    <mergeCell ref="H116:H120"/>
    <mergeCell ref="H70:H76"/>
    <mergeCell ref="H98:H101"/>
    <mergeCell ref="H121:H125"/>
    <mergeCell ref="H139:H144"/>
    <mergeCell ref="B145:B149"/>
    <mergeCell ref="H145:H149"/>
    <mergeCell ref="H150:H151"/>
    <mergeCell ref="H126:H129"/>
    <mergeCell ref="B130:B133"/>
    <mergeCell ref="H130:H133"/>
    <mergeCell ref="B135:B138"/>
    <mergeCell ref="H135:H138"/>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16" t="s">
        <v>1324</v>
      </c>
      <c r="B1" s="2417"/>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55" t="str">
        <f>OF!B97</f>
        <v>Upland Edge Contact [NR, RSB, Sens]</v>
      </c>
      <c r="C3" s="357" t="str">
        <f>OF!C97</f>
        <v>Select one:</v>
      </c>
      <c r="D3" s="801"/>
      <c r="E3" s="80"/>
      <c r="F3" s="81"/>
      <c r="G3" s="165">
        <f>MAX(F4:F8)/MAX(E4:E8)</f>
        <v>0</v>
      </c>
      <c r="H3" s="2271" t="s">
        <v>1327</v>
      </c>
      <c r="I3" s="283" t="s">
        <v>1328</v>
      </c>
    </row>
    <row r="4" spans="1:9" ht="25.5" x14ac:dyDescent="0.2">
      <c r="A4" s="1199"/>
      <c r="B4" s="2256"/>
      <c r="C4" s="695" t="str">
        <f>OF!C98</f>
        <v>The AA has no upland edge (or upland is &lt;1% of perimeter). The AA is entirely surrounded by (&amp; contiguous with) other wetlands or water.</v>
      </c>
      <c r="D4" s="401">
        <f>OF!D98</f>
        <v>0</v>
      </c>
      <c r="E4" s="76">
        <v>0</v>
      </c>
      <c r="F4" s="76">
        <f t="shared" ref="F4:F6" si="0">D4*E4</f>
        <v>0</v>
      </c>
      <c r="G4" s="191"/>
      <c r="H4" s="2266"/>
      <c r="I4" s="64"/>
    </row>
    <row r="5" spans="1:9" ht="25.5" x14ac:dyDescent="0.2">
      <c r="A5" s="1199"/>
      <c r="B5" s="2256"/>
      <c r="C5" s="695" t="str">
        <f>OF!C99</f>
        <v>1-25% of the AA's perimeter abuts upland (including filled areas). The rest adjoins other wetlands or water that is mostly wider than the AA.</v>
      </c>
      <c r="D5" s="401">
        <f>OF!D99</f>
        <v>0</v>
      </c>
      <c r="E5" s="76">
        <v>0</v>
      </c>
      <c r="F5" s="76">
        <f t="shared" si="0"/>
        <v>0</v>
      </c>
      <c r="G5" s="191"/>
      <c r="H5" s="2266"/>
      <c r="I5" s="64"/>
    </row>
    <row r="6" spans="1:9" ht="25.5" x14ac:dyDescent="0.2">
      <c r="A6" s="1199"/>
      <c r="B6" s="2256"/>
      <c r="C6" s="695" t="str">
        <f>OF!C100</f>
        <v>25-50% of the AA's perimeter abuts upland. The rest adjoins other wetlands or water that is mostly wider than the AA.</v>
      </c>
      <c r="D6" s="401">
        <f>OF!D100</f>
        <v>0</v>
      </c>
      <c r="E6" s="76">
        <v>0</v>
      </c>
      <c r="F6" s="76">
        <f t="shared" si="0"/>
        <v>0</v>
      </c>
      <c r="G6" s="191"/>
      <c r="H6" s="2266"/>
      <c r="I6" s="64"/>
    </row>
    <row r="7" spans="1:9" ht="25.5" x14ac:dyDescent="0.2">
      <c r="A7" s="1199"/>
      <c r="B7" s="2256"/>
      <c r="C7" s="700" t="str">
        <f>OF!C101</f>
        <v>50-75% of the AA's perimeter abuts upland. The rest adjoins other wetlands or water that is mostly wider than the AA.</v>
      </c>
      <c r="D7" s="558">
        <f>OF!D101</f>
        <v>0</v>
      </c>
      <c r="E7" s="76">
        <v>1</v>
      </c>
      <c r="F7" s="76">
        <f>D7*E7</f>
        <v>0</v>
      </c>
      <c r="G7" s="192"/>
      <c r="H7" s="2266"/>
      <c r="I7" s="64"/>
    </row>
    <row r="8" spans="1:9" ht="39" thickBot="1" x14ac:dyDescent="0.25">
      <c r="A8" s="1199"/>
      <c r="B8" s="2257"/>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267"/>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v>
      </c>
      <c r="E9" s="80"/>
      <c r="F9" s="80"/>
      <c r="G9" s="165">
        <f>ShedPos</f>
        <v>0</v>
      </c>
      <c r="H9" s="416" t="s">
        <v>1329</v>
      </c>
      <c r="I9" s="283" t="s">
        <v>1330</v>
      </c>
    </row>
    <row r="10" spans="1:9" ht="94.5" customHeight="1" thickBot="1" x14ac:dyDescent="0.25">
      <c r="A10" s="1193" t="str">
        <f>OF!A121</f>
        <v>OF22</v>
      </c>
      <c r="B10" s="2255"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v>
      </c>
      <c r="H10" s="2271" t="s">
        <v>1331</v>
      </c>
      <c r="I10" s="283" t="s">
        <v>1332</v>
      </c>
    </row>
    <row r="11" spans="1:9" ht="25.5" x14ac:dyDescent="0.2">
      <c r="A11" s="1199"/>
      <c r="B11" s="2256"/>
      <c r="C11" s="302" t="str">
        <f>OF!C122</f>
        <v>&lt;0.01, or catchment size unknown due to stormwater pipes that collect water from an indeterminate area.</v>
      </c>
      <c r="D11" s="401">
        <f>OF!D122</f>
        <v>0</v>
      </c>
      <c r="E11" s="76">
        <v>0</v>
      </c>
      <c r="F11" s="79">
        <f>D11*E11</f>
        <v>0</v>
      </c>
      <c r="G11" s="192"/>
      <c r="H11" s="2266"/>
      <c r="I11" s="64"/>
    </row>
    <row r="12" spans="1:9" x14ac:dyDescent="0.2">
      <c r="A12" s="1199"/>
      <c r="B12" s="2256"/>
      <c r="C12" s="303" t="str">
        <f>OF!C123</f>
        <v>0.01 to 0.1.</v>
      </c>
      <c r="D12" s="558">
        <f>OF!D123</f>
        <v>0</v>
      </c>
      <c r="E12" s="76">
        <v>1</v>
      </c>
      <c r="F12" s="79">
        <f>D12*E12</f>
        <v>0</v>
      </c>
      <c r="G12" s="192"/>
      <c r="H12" s="2266"/>
      <c r="I12" s="64"/>
    </row>
    <row r="13" spans="1:9" x14ac:dyDescent="0.2">
      <c r="A13" s="1199"/>
      <c r="B13" s="2256"/>
      <c r="C13" s="303" t="str">
        <f>OF!C124</f>
        <v>0.1 to 1.</v>
      </c>
      <c r="D13" s="558">
        <f>OF!D124</f>
        <v>0</v>
      </c>
      <c r="E13" s="76">
        <v>2</v>
      </c>
      <c r="F13" s="79">
        <f>D13*E13</f>
        <v>0</v>
      </c>
      <c r="G13" s="192"/>
      <c r="H13" s="2266"/>
      <c r="I13" s="64"/>
    </row>
    <row r="14" spans="1:9" ht="26.25" thickBot="1" x14ac:dyDescent="0.25">
      <c r="A14" s="1200"/>
      <c r="B14" s="2257"/>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267"/>
      <c r="I14" s="282"/>
    </row>
    <row r="15" spans="1:9" ht="26.25" customHeight="1" thickBot="1" x14ac:dyDescent="0.25">
      <c r="A15" s="1193" t="str">
        <f>OF!A135</f>
        <v>OF25</v>
      </c>
      <c r="B15" s="2255" t="str">
        <f>OF!B135</f>
        <v>Aspect [WS, SFTSb, NR, CS, CC, APP]</v>
      </c>
      <c r="C15" s="744" t="str">
        <f>OF!C135</f>
        <v>The overland flow direction of most surface water (in streams, rivers, or runoff) that enters the AA is:</v>
      </c>
      <c r="D15" s="801"/>
      <c r="E15" s="80"/>
      <c r="F15" s="81"/>
      <c r="G15" s="165">
        <f>IF((NoCA=1),"", MAX(F16:F18)/MAX(E16:E18))</f>
        <v>0</v>
      </c>
      <c r="H15" s="2271" t="s">
        <v>8781</v>
      </c>
      <c r="I15" s="283" t="s">
        <v>1333</v>
      </c>
    </row>
    <row r="16" spans="1:9" x14ac:dyDescent="0.2">
      <c r="A16" s="1199"/>
      <c r="B16" s="2256"/>
      <c r="C16" s="302" t="str">
        <f>OF!C136</f>
        <v>Northward (N, NE). north-facing contributing area.</v>
      </c>
      <c r="D16" s="401">
        <f>OF!D136</f>
        <v>0</v>
      </c>
      <c r="E16" s="76">
        <v>0</v>
      </c>
      <c r="F16" s="79">
        <f>D16*E16</f>
        <v>0</v>
      </c>
      <c r="G16" s="191"/>
      <c r="H16" s="2266"/>
      <c r="I16" s="64"/>
    </row>
    <row r="17" spans="1:9" x14ac:dyDescent="0.2">
      <c r="A17" s="1199"/>
      <c r="B17" s="2256"/>
      <c r="C17" s="303" t="str">
        <f>OF!C137</f>
        <v>Southward (S, SW). south-facing contributing area.</v>
      </c>
      <c r="D17" s="558">
        <f>OF!D137</f>
        <v>0</v>
      </c>
      <c r="E17" s="76">
        <v>3</v>
      </c>
      <c r="F17" s="79">
        <f>D17*E17</f>
        <v>0</v>
      </c>
      <c r="G17" s="192"/>
      <c r="H17" s="2266"/>
      <c r="I17" s="64"/>
    </row>
    <row r="18" spans="1:9" ht="13.5" thickBot="1" x14ac:dyDescent="0.25">
      <c r="A18" s="1200"/>
      <c r="B18" s="2257"/>
      <c r="C18" s="743" t="str">
        <f>OF!C138</f>
        <v>Other (E, SE, W, NW), or no detectable uphill slope or input channel (flat).</v>
      </c>
      <c r="D18" s="557">
        <f>OF!D138</f>
        <v>0</v>
      </c>
      <c r="E18" s="77">
        <v>2</v>
      </c>
      <c r="F18" s="77">
        <f>D18*E18</f>
        <v>0</v>
      </c>
      <c r="G18" s="193"/>
      <c r="H18" s="2267"/>
      <c r="I18" s="282"/>
    </row>
    <row r="19" spans="1:9" ht="13.5" customHeight="1" thickBot="1" x14ac:dyDescent="0.25">
      <c r="A19" s="1193" t="str">
        <f>OF!A139</f>
        <v>OF26</v>
      </c>
      <c r="B19" s="2255"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v>
      </c>
      <c r="H19" s="2271" t="s">
        <v>1334</v>
      </c>
      <c r="I19" s="283" t="s">
        <v>1335</v>
      </c>
    </row>
    <row r="20" spans="1:9" x14ac:dyDescent="0.2">
      <c r="A20" s="1199"/>
      <c r="B20" s="2256"/>
      <c r="C20" s="695" t="str">
        <f>OF!C140</f>
        <v>&lt;10 m</v>
      </c>
      <c r="D20" s="401">
        <f>OF!D140</f>
        <v>0</v>
      </c>
      <c r="E20" s="76">
        <v>0</v>
      </c>
      <c r="F20" s="76">
        <f t="shared" ref="F20:F25" si="1">D20*E20</f>
        <v>0</v>
      </c>
      <c r="G20" s="192"/>
      <c r="H20" s="2266"/>
      <c r="I20" s="64"/>
    </row>
    <row r="21" spans="1:9" x14ac:dyDescent="0.2">
      <c r="A21" s="1199"/>
      <c r="B21" s="2256"/>
      <c r="C21" s="700" t="str">
        <f>OF!C141</f>
        <v>10 - 50 m</v>
      </c>
      <c r="D21" s="558">
        <f>OF!D141</f>
        <v>0</v>
      </c>
      <c r="E21" s="76">
        <v>2</v>
      </c>
      <c r="F21" s="76">
        <f t="shared" si="1"/>
        <v>0</v>
      </c>
      <c r="G21" s="192"/>
      <c r="H21" s="2266"/>
      <c r="I21" s="64"/>
    </row>
    <row r="22" spans="1:9" x14ac:dyDescent="0.2">
      <c r="A22" s="1199"/>
      <c r="B22" s="2256"/>
      <c r="C22" s="700" t="str">
        <f>OF!C142</f>
        <v>50 - 100 m</v>
      </c>
      <c r="D22" s="558">
        <f>OF!D142</f>
        <v>0</v>
      </c>
      <c r="E22" s="76">
        <v>3</v>
      </c>
      <c r="F22" s="76">
        <f t="shared" si="1"/>
        <v>0</v>
      </c>
      <c r="G22" s="192"/>
      <c r="H22" s="2266"/>
      <c r="I22" s="64"/>
    </row>
    <row r="23" spans="1:9" x14ac:dyDescent="0.2">
      <c r="A23" s="1199"/>
      <c r="B23" s="2256"/>
      <c r="C23" s="700" t="str">
        <f>OF!C143</f>
        <v>100 - 1000 m</v>
      </c>
      <c r="D23" s="558">
        <f>OF!D143</f>
        <v>0</v>
      </c>
      <c r="E23" s="76">
        <v>4</v>
      </c>
      <c r="F23" s="76">
        <f t="shared" si="1"/>
        <v>0</v>
      </c>
      <c r="G23" s="192"/>
      <c r="H23" s="2266"/>
      <c r="I23" s="64"/>
    </row>
    <row r="24" spans="1:9" x14ac:dyDescent="0.2">
      <c r="A24" s="1199"/>
      <c r="B24" s="2256"/>
      <c r="C24" s="700" t="str">
        <f>OF!C144</f>
        <v>1- 2 km</v>
      </c>
      <c r="D24" s="558">
        <f>OF!D144</f>
        <v>0</v>
      </c>
      <c r="E24" s="76">
        <v>5</v>
      </c>
      <c r="F24" s="76">
        <f t="shared" si="1"/>
        <v>0</v>
      </c>
      <c r="G24" s="192"/>
      <c r="H24" s="2266"/>
      <c r="I24" s="64"/>
    </row>
    <row r="25" spans="1:9" ht="13.5" thickBot="1" x14ac:dyDescent="0.25">
      <c r="A25" s="1200"/>
      <c r="B25" s="2257"/>
      <c r="C25" s="696" t="str">
        <f>OF!C145</f>
        <v>&gt;2 km</v>
      </c>
      <c r="D25" s="794">
        <f>OF!D145</f>
        <v>0</v>
      </c>
      <c r="E25" s="77">
        <v>7</v>
      </c>
      <c r="F25" s="77">
        <f t="shared" si="1"/>
        <v>0</v>
      </c>
      <c r="G25" s="193"/>
      <c r="H25" s="2267"/>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55"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271" t="s">
        <v>8919</v>
      </c>
      <c r="I27" s="283" t="s">
        <v>1337</v>
      </c>
    </row>
    <row r="28" spans="1:9" ht="64.5" customHeight="1" thickBot="1" x14ac:dyDescent="0.25">
      <c r="A28" s="1151"/>
      <c r="B28" s="2256"/>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266"/>
      <c r="I28" s="64"/>
    </row>
    <row r="29" spans="1:9" ht="90" thickBot="1" x14ac:dyDescent="0.25">
      <c r="A29" s="1151"/>
      <c r="B29" s="2256"/>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266"/>
      <c r="I29" s="64"/>
    </row>
    <row r="30" spans="1:9" ht="64.5" thickBot="1" x14ac:dyDescent="0.25">
      <c r="A30" s="1151"/>
      <c r="B30" s="2256"/>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266"/>
      <c r="I30" s="64"/>
    </row>
    <row r="31" spans="1:9" ht="39" customHeight="1" thickBot="1" x14ac:dyDescent="0.25">
      <c r="A31" s="1151"/>
      <c r="B31" s="2256"/>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266"/>
      <c r="I31" s="64"/>
    </row>
    <row r="32" spans="1:9" ht="39" thickBot="1" x14ac:dyDescent="0.25">
      <c r="A32" s="1151"/>
      <c r="B32" s="2256"/>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266"/>
      <c r="I32" s="64"/>
    </row>
    <row r="33" spans="1:9" ht="51.75" thickBot="1" x14ac:dyDescent="0.25">
      <c r="A33" s="1151"/>
      <c r="B33" s="2257"/>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266"/>
      <c r="I33" s="282"/>
    </row>
    <row r="34" spans="1:9" ht="51.75" customHeight="1" thickBot="1" x14ac:dyDescent="0.25">
      <c r="A34" s="2265" t="str">
        <f>F!A19</f>
        <v>F3</v>
      </c>
      <c r="B34" s="2255"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271" t="s">
        <v>1338</v>
      </c>
      <c r="I34" s="2252" t="s">
        <v>1339</v>
      </c>
    </row>
    <row r="35" spans="1:9" x14ac:dyDescent="0.2">
      <c r="A35" s="2262"/>
      <c r="B35" s="2256"/>
      <c r="C35" s="303" t="str">
        <f>F!C20</f>
        <v>evergreen trees (may include tamarack) taller than 6 m.</v>
      </c>
      <c r="D35" s="558">
        <f>F!D20</f>
        <v>0</v>
      </c>
      <c r="E35" s="157"/>
      <c r="F35" s="157"/>
      <c r="G35" s="806"/>
      <c r="H35" s="2266"/>
      <c r="I35" s="2253"/>
    </row>
    <row r="36" spans="1:9" x14ac:dyDescent="0.2">
      <c r="A36" s="2262"/>
      <c r="B36" s="2256"/>
      <c r="C36" s="303" t="str">
        <f>F!C21</f>
        <v>deciduous trees taller than 6 m.</v>
      </c>
      <c r="D36" s="558">
        <f>F!D21</f>
        <v>0</v>
      </c>
      <c r="E36" s="157"/>
      <c r="F36" s="157"/>
      <c r="G36" s="809"/>
      <c r="H36" s="2266"/>
      <c r="I36" s="2253"/>
    </row>
    <row r="37" spans="1:9" x14ac:dyDescent="0.2">
      <c r="A37" s="2262"/>
      <c r="B37" s="2256"/>
      <c r="C37" s="303" t="str">
        <f>F!C22</f>
        <v>evergreen shrubs or trees 2 to 6 m tall not directly below the canopy of trees.</v>
      </c>
      <c r="D37" s="558">
        <f>F!D22</f>
        <v>0</v>
      </c>
      <c r="E37" s="157"/>
      <c r="F37" s="157"/>
      <c r="G37" s="809"/>
      <c r="H37" s="2266"/>
      <c r="I37" s="2253"/>
    </row>
    <row r="38" spans="1:9" x14ac:dyDescent="0.2">
      <c r="A38" s="2262"/>
      <c r="B38" s="2256"/>
      <c r="C38" s="303" t="str">
        <f>F!C23</f>
        <v>deciduous shrubs or trees 2 to 6 m tall not directly below the canopy of trees.</v>
      </c>
      <c r="D38" s="558">
        <f>F!D23</f>
        <v>0</v>
      </c>
      <c r="E38" s="157"/>
      <c r="F38" s="157"/>
      <c r="G38" s="809"/>
      <c r="H38" s="2266"/>
      <c r="I38" s="2253"/>
    </row>
    <row r="39" spans="1:9" ht="18" customHeight="1" x14ac:dyDescent="0.2">
      <c r="A39" s="2262"/>
      <c r="B39" s="2256"/>
      <c r="C39" s="303" t="str">
        <f>F!C24</f>
        <v>evergreen vegetation 0.5 to 2 m tall not directly below the canopy of taller vegetation.</v>
      </c>
      <c r="D39" s="558">
        <f>F!D24</f>
        <v>0</v>
      </c>
      <c r="E39" s="157"/>
      <c r="F39" s="157"/>
      <c r="G39" s="809"/>
      <c r="H39" s="2266"/>
      <c r="I39" s="2253"/>
    </row>
    <row r="40" spans="1:9" ht="25.5" x14ac:dyDescent="0.2">
      <c r="A40" s="2262"/>
      <c r="B40" s="2256"/>
      <c r="C40" s="303" t="str">
        <f>F!C25</f>
        <v>deciduous vegetation 0.5 to 2 m tall (e.g., deciduous seedlings) not directly below the canopy of taller vegetation.</v>
      </c>
      <c r="D40" s="558">
        <f>F!D25</f>
        <v>0</v>
      </c>
      <c r="E40" s="157"/>
      <c r="F40" s="157"/>
      <c r="G40" s="809"/>
      <c r="H40" s="2266"/>
      <c r="I40" s="2253"/>
    </row>
    <row r="41" spans="1:9" ht="31.5" customHeight="1" thickBot="1" x14ac:dyDescent="0.25">
      <c r="A41" s="2263"/>
      <c r="B41" s="2257"/>
      <c r="C41" s="571" t="str">
        <f>F!C26</f>
        <v>Non-woody vegetation (except mosses) not under a tree or shrub canopy.</v>
      </c>
      <c r="D41" s="794">
        <f>F!D26</f>
        <v>0</v>
      </c>
      <c r="E41" s="342"/>
      <c r="F41" s="342"/>
      <c r="G41" s="810"/>
      <c r="H41" s="2267"/>
      <c r="I41" s="2254"/>
    </row>
    <row r="42" spans="1:9" ht="19.5" customHeight="1" thickBot="1" x14ac:dyDescent="0.25">
      <c r="A42" s="1151" t="str">
        <f>F!A42</f>
        <v>F6</v>
      </c>
      <c r="B42" s="2255" t="str">
        <f>F!B42</f>
        <v>Height Class Interspersion [NR, AM, RSB, KMH, PH, Sens]</v>
      </c>
      <c r="C42" s="697" t="str">
        <f>F!C42</f>
        <v>Follow the key below and mark the ONE row that best describes MOST of the AA:</v>
      </c>
      <c r="D42" s="802"/>
      <c r="E42" s="75"/>
      <c r="F42" s="78"/>
      <c r="G42" s="348">
        <f>MAX(F44:F48)/MAX(E44:E48)</f>
        <v>0</v>
      </c>
      <c r="H42" s="2266" t="s">
        <v>1340</v>
      </c>
      <c r="I42" s="283" t="s">
        <v>1341</v>
      </c>
    </row>
    <row r="43" spans="1:9" ht="51.75" thickBot="1" x14ac:dyDescent="0.25">
      <c r="A43" s="1151"/>
      <c r="B43" s="2256"/>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266"/>
      <c r="I43" s="64"/>
    </row>
    <row r="44" spans="1:9" x14ac:dyDescent="0.2">
      <c r="A44" s="1151"/>
      <c r="B44" s="2256"/>
      <c r="C44" s="699" t="str">
        <f>F!C44</f>
        <v>A1. The two height classes are mostly scattered and intermixed throughout the AA.</v>
      </c>
      <c r="D44" s="803">
        <f>F!D44</f>
        <v>0</v>
      </c>
      <c r="E44" s="76">
        <v>3</v>
      </c>
      <c r="F44" s="79">
        <f>D44*E44</f>
        <v>0</v>
      </c>
      <c r="G44" s="191"/>
      <c r="H44" s="2266"/>
      <c r="I44" s="64"/>
    </row>
    <row r="45" spans="1:9" ht="26.25" thickBot="1" x14ac:dyDescent="0.25">
      <c r="A45" s="1151"/>
      <c r="B45" s="2256"/>
      <c r="C45" s="700" t="str">
        <f>F!C45</f>
        <v>A2. Not A1.  The two height classes are mostly in separate zones or bands, or in proportionately large clumps.</v>
      </c>
      <c r="D45" s="558">
        <f>F!D45</f>
        <v>0</v>
      </c>
      <c r="E45" s="76">
        <v>2</v>
      </c>
      <c r="F45" s="79">
        <f>D45*E45</f>
        <v>0</v>
      </c>
      <c r="G45" s="192"/>
      <c r="H45" s="2266"/>
      <c r="I45" s="64"/>
    </row>
    <row r="46" spans="1:9" ht="51" x14ac:dyDescent="0.2">
      <c r="A46" s="1151"/>
      <c r="B46" s="2256"/>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266"/>
      <c r="I46" s="64"/>
    </row>
    <row r="47" spans="1:9" ht="25.5" x14ac:dyDescent="0.2">
      <c r="A47" s="1151"/>
      <c r="B47" s="2256"/>
      <c r="C47" s="698" t="str">
        <f>F!C47</f>
        <v>B1. The less prevalent height class is mostly scattered and intermixed within the prevalent one.</v>
      </c>
      <c r="D47" s="557">
        <f>F!D47</f>
        <v>0</v>
      </c>
      <c r="E47" s="76">
        <v>1</v>
      </c>
      <c r="F47" s="79">
        <f>D47*E47</f>
        <v>0</v>
      </c>
      <c r="G47" s="192"/>
      <c r="H47" s="2266"/>
      <c r="I47" s="64"/>
    </row>
    <row r="48" spans="1:9" ht="26.25" thickBot="1" x14ac:dyDescent="0.25">
      <c r="A48" s="1151"/>
      <c r="B48" s="2257"/>
      <c r="C48" s="696" t="str">
        <f>F!C48</f>
        <v>B2. Not B1.  The less prevalent height class is mostly located apart from the prevalent one, in separate zones or clumps, or is completely absent.</v>
      </c>
      <c r="D48" s="794">
        <f>F!D48</f>
        <v>0</v>
      </c>
      <c r="E48" s="77">
        <v>0</v>
      </c>
      <c r="F48" s="79">
        <f>D48*E48</f>
        <v>0</v>
      </c>
      <c r="G48" s="192"/>
      <c r="H48" s="2267"/>
      <c r="I48" s="282"/>
    </row>
    <row r="49" spans="1:9" ht="39" customHeight="1" thickBot="1" x14ac:dyDescent="0.25">
      <c r="A49" s="1153" t="str">
        <f>F!A107</f>
        <v>F17</v>
      </c>
      <c r="B49" s="2255"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271" t="s">
        <v>1342</v>
      </c>
      <c r="I49" s="283" t="s">
        <v>1343</v>
      </c>
    </row>
    <row r="50" spans="1:9" ht="51" x14ac:dyDescent="0.2">
      <c r="A50" s="1173"/>
      <c r="B50" s="2256"/>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66"/>
      <c r="I50" s="64"/>
    </row>
    <row r="51" spans="1:9" ht="25.5" x14ac:dyDescent="0.2">
      <c r="A51" s="1173"/>
      <c r="B51" s="2256"/>
      <c r="C51" s="700" t="str">
        <f>F!C109</f>
        <v>Slightly bare ground (5-20% bare between plants) is visible in places, and those areas comprise less than 5% of the unflooded parts of the AA.</v>
      </c>
      <c r="D51" s="558">
        <f>F!D109</f>
        <v>0</v>
      </c>
      <c r="E51" s="76">
        <v>2</v>
      </c>
      <c r="F51" s="76">
        <f>D51*E51</f>
        <v>0</v>
      </c>
      <c r="G51" s="192"/>
      <c r="H51" s="2266"/>
      <c r="I51" s="64"/>
    </row>
    <row r="52" spans="1:9" ht="25.5" x14ac:dyDescent="0.2">
      <c r="A52" s="1173"/>
      <c r="B52" s="2256"/>
      <c r="C52" s="700" t="str">
        <f>F!C110</f>
        <v xml:space="preserve">Slightly bare ground (5-20% bare between plants) comprises more than 5% of the unflooded parts of the AA, </v>
      </c>
      <c r="D52" s="558">
        <f>F!D110</f>
        <v>0</v>
      </c>
      <c r="E52" s="76">
        <v>1</v>
      </c>
      <c r="F52" s="76">
        <f>D52*E52</f>
        <v>0</v>
      </c>
      <c r="G52" s="192"/>
      <c r="H52" s="2266"/>
      <c r="I52" s="64"/>
    </row>
    <row r="53" spans="1:9" ht="25.5" x14ac:dyDescent="0.2">
      <c r="A53" s="1173"/>
      <c r="B53" s="2256"/>
      <c r="C53" s="700" t="str">
        <f>F!C111</f>
        <v>Very bare ground (20-50% bare between plants) comprises more than 5% of the unflooded parts of the AA. </v>
      </c>
      <c r="D53" s="558">
        <f>F!D111</f>
        <v>0</v>
      </c>
      <c r="E53" s="79">
        <v>0</v>
      </c>
      <c r="F53" s="76">
        <f>D53*E53</f>
        <v>0</v>
      </c>
      <c r="G53" s="211"/>
      <c r="H53" s="2266"/>
      <c r="I53" s="64"/>
    </row>
    <row r="54" spans="1:9" ht="26.25" thickBot="1" x14ac:dyDescent="0.25">
      <c r="A54" s="1174"/>
      <c r="B54" s="2257"/>
      <c r="C54" s="700" t="str">
        <f>F!C112</f>
        <v>Not applicable. Surface water (either open or obscured by emergent plants) covers all of the AA all the time.</v>
      </c>
      <c r="D54" s="558">
        <f>F!D112</f>
        <v>0</v>
      </c>
      <c r="E54" s="77"/>
      <c r="F54" s="77"/>
      <c r="G54" s="193"/>
      <c r="H54" s="2267"/>
      <c r="I54" s="282"/>
    </row>
    <row r="55" spans="1:9" ht="64.5" customHeight="1" thickBot="1" x14ac:dyDescent="0.25">
      <c r="A55" s="1153" t="str">
        <f>F!A124</f>
        <v>F20</v>
      </c>
      <c r="B55" s="2255"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271" t="s">
        <v>1344</v>
      </c>
      <c r="I55" s="283" t="s">
        <v>1345</v>
      </c>
    </row>
    <row r="56" spans="1:9" ht="25.5" x14ac:dyDescent="0.2">
      <c r="A56" s="1173"/>
      <c r="B56" s="2256"/>
      <c r="C56" s="695" t="str">
        <f>F!C125</f>
        <v>Few or none (minimal microtopography; &lt;1% of the land has such features, or entire AA is always water-covered).</v>
      </c>
      <c r="D56" s="401">
        <f>F!D125</f>
        <v>0</v>
      </c>
      <c r="E56" s="76">
        <v>0</v>
      </c>
      <c r="F56" s="76">
        <f>D56*E56</f>
        <v>0</v>
      </c>
      <c r="G56" s="191"/>
      <c r="H56" s="2266"/>
      <c r="I56" s="64"/>
    </row>
    <row r="57" spans="1:9" x14ac:dyDescent="0.2">
      <c r="A57" s="1173"/>
      <c r="B57" s="2256"/>
      <c r="C57" s="700" t="str">
        <f>F!C126</f>
        <v>Intermediate.</v>
      </c>
      <c r="D57" s="558">
        <f>F!D126</f>
        <v>0</v>
      </c>
      <c r="E57" s="76">
        <v>2</v>
      </c>
      <c r="F57" s="76">
        <f>D57*E57</f>
        <v>0</v>
      </c>
      <c r="G57" s="238"/>
      <c r="H57" s="2266"/>
      <c r="I57" s="64"/>
    </row>
    <row r="58" spans="1:9" ht="13.5" thickBot="1" x14ac:dyDescent="0.25">
      <c r="A58" s="1174"/>
      <c r="B58" s="2257"/>
      <c r="C58" s="696" t="str">
        <f>F!C127</f>
        <v>Several (extensive micro-topography).</v>
      </c>
      <c r="D58" s="794">
        <f>F!D127</f>
        <v>0</v>
      </c>
      <c r="E58" s="77">
        <v>3</v>
      </c>
      <c r="F58" s="77">
        <f>D58*E58</f>
        <v>0</v>
      </c>
      <c r="G58" s="193"/>
      <c r="H58" s="2267"/>
      <c r="I58" s="282"/>
    </row>
    <row r="59" spans="1:9" ht="16.5" customHeight="1" thickBot="1" x14ac:dyDescent="0.25">
      <c r="A59" s="1153" t="str">
        <f>F!A114</f>
        <v>F18</v>
      </c>
      <c r="B59" s="2255" t="str">
        <f>F!B114</f>
        <v>Upland Inclusions [NR, RSB]</v>
      </c>
      <c r="C59" s="357" t="str">
        <f>F!C114</f>
        <v>Within the AA, inclusions of upland are:</v>
      </c>
      <c r="D59" s="802"/>
      <c r="E59" s="80"/>
      <c r="F59" s="81"/>
      <c r="G59" s="672">
        <f>IF((D60=1),"", MAX(F60:F62)/MAX(E60:E62))</f>
        <v>0</v>
      </c>
      <c r="H59" s="2271" t="s">
        <v>8626</v>
      </c>
      <c r="I59" s="283" t="s">
        <v>1346</v>
      </c>
    </row>
    <row r="60" spans="1:9" x14ac:dyDescent="0.2">
      <c r="A60" s="1173"/>
      <c r="B60" s="2256"/>
      <c r="C60" s="695" t="str">
        <f>F!C115</f>
        <v>Few or none.</v>
      </c>
      <c r="D60" s="401">
        <f>F!D115</f>
        <v>0</v>
      </c>
      <c r="E60" s="76">
        <v>0</v>
      </c>
      <c r="F60" s="76">
        <f>D60*E60</f>
        <v>0</v>
      </c>
      <c r="G60" s="191"/>
      <c r="H60" s="2266"/>
      <c r="I60" s="64"/>
    </row>
    <row r="61" spans="1:9" x14ac:dyDescent="0.2">
      <c r="A61" s="1173"/>
      <c r="B61" s="2256"/>
      <c r="C61" s="700" t="str">
        <f>F!C116</f>
        <v>Intermediate (1 - 10% of vegetated part of the AA).</v>
      </c>
      <c r="D61" s="558">
        <f>F!D116</f>
        <v>0</v>
      </c>
      <c r="E61" s="76">
        <v>1</v>
      </c>
      <c r="F61" s="76">
        <f>D61*E61</f>
        <v>0</v>
      </c>
      <c r="G61" s="192"/>
      <c r="H61" s="2266"/>
      <c r="I61" s="64"/>
    </row>
    <row r="62" spans="1:9" ht="24.75" customHeight="1" thickBot="1" x14ac:dyDescent="0.25">
      <c r="A62" s="1174"/>
      <c r="B62" s="2257"/>
      <c r="C62" s="696" t="str">
        <f>F!C117</f>
        <v>Many (e.g., wetland-upland "mosaic", &gt;10% of the vegetated AA).</v>
      </c>
      <c r="D62" s="794">
        <f>F!D117</f>
        <v>0</v>
      </c>
      <c r="E62" s="77">
        <v>2</v>
      </c>
      <c r="F62" s="77">
        <f>D62*E62</f>
        <v>0</v>
      </c>
      <c r="G62" s="193"/>
      <c r="H62" s="2267"/>
      <c r="I62" s="282"/>
    </row>
    <row r="63" spans="1:9" ht="39" customHeight="1" thickBot="1" x14ac:dyDescent="0.25">
      <c r="A63" s="1201" t="str">
        <f>F!A128</f>
        <v>F21</v>
      </c>
      <c r="B63" s="2255" t="str">
        <f>F!B128</f>
        <v>Soil Texture [WS, SFTS, PR, NR,WFR, CSP, CC, APP, PH, Sens]</v>
      </c>
      <c r="C63" s="697" t="str">
        <f>F!C128</f>
        <v>In parts of the AA that lack persistent water, the texture of soil in the uppermost (&lt;20 cm) layer is mostly:</v>
      </c>
      <c r="D63" s="801"/>
      <c r="E63" s="75"/>
      <c r="F63" s="78"/>
      <c r="G63" s="348">
        <f>MAX(F64:F68)/MAX(E64:E68)</f>
        <v>0</v>
      </c>
      <c r="H63" s="2271" t="s">
        <v>1347</v>
      </c>
      <c r="I63" s="283" t="s">
        <v>1348</v>
      </c>
    </row>
    <row r="64" spans="1:9" ht="29.25" customHeight="1" x14ac:dyDescent="0.2">
      <c r="A64" s="1201"/>
      <c r="B64" s="2256"/>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266"/>
      <c r="I64" s="64"/>
    </row>
    <row r="65" spans="1:9" ht="25.5" x14ac:dyDescent="0.2">
      <c r="A65" s="1201"/>
      <c r="B65" s="2256"/>
      <c r="C65" s="700" t="str">
        <f>F!C130</f>
        <v>Fines: includes silt, clay, silt, soils that make a ribbon longer than 2 cm when moistened, rolled, squeezed, and extended between thumb and forefinger.</v>
      </c>
      <c r="D65" s="558">
        <f>F!D130</f>
        <v>0</v>
      </c>
      <c r="E65" s="76">
        <v>3</v>
      </c>
      <c r="F65" s="76">
        <f>D65*E65</f>
        <v>0</v>
      </c>
      <c r="G65" s="192"/>
      <c r="H65" s="2266"/>
      <c r="I65" s="64"/>
    </row>
    <row r="66" spans="1:9" x14ac:dyDescent="0.2">
      <c r="A66" s="1201"/>
      <c r="B66" s="2256"/>
      <c r="C66" s="700" t="str">
        <f>F!C131</f>
        <v>Deep Peat, to 40 cm (16 inch) depth or greater.</v>
      </c>
      <c r="D66" s="558">
        <f>F!D131</f>
        <v>0</v>
      </c>
      <c r="E66" s="76">
        <v>2</v>
      </c>
      <c r="F66" s="76">
        <f>D66*E66</f>
        <v>0</v>
      </c>
      <c r="G66" s="192"/>
      <c r="H66" s="2266"/>
      <c r="I66" s="64"/>
    </row>
    <row r="67" spans="1:9" x14ac:dyDescent="0.2">
      <c r="A67" s="1201"/>
      <c r="B67" s="2256"/>
      <c r="C67" s="700" t="str">
        <f>F!C132</f>
        <v xml:space="preserve">Shallow Peat or organic &lt;40 cm deep. </v>
      </c>
      <c r="D67" s="558">
        <f>F!D132</f>
        <v>0</v>
      </c>
      <c r="E67" s="76">
        <v>3</v>
      </c>
      <c r="F67" s="76">
        <f>D67*E67</f>
        <v>0</v>
      </c>
      <c r="G67" s="211"/>
      <c r="H67" s="2266"/>
      <c r="I67" s="64"/>
    </row>
    <row r="68" spans="1:9" ht="30" customHeight="1" thickBot="1" x14ac:dyDescent="0.25">
      <c r="A68" s="1201"/>
      <c r="B68" s="2257"/>
      <c r="C68" s="698" t="str">
        <f>F!C133</f>
        <v>Coarse: includes sand, loamy sand, gravel, cobble, soils that do not make a ribbon when moistened, rolled, squeezed, and extended between thumb and forefinger.</v>
      </c>
      <c r="D68" s="557">
        <f>F!D133</f>
        <v>0</v>
      </c>
      <c r="E68" s="79">
        <v>0</v>
      </c>
      <c r="F68" s="79">
        <f>D68*E68</f>
        <v>0</v>
      </c>
      <c r="G68" s="211"/>
      <c r="H68" s="2267"/>
      <c r="I68" s="282"/>
    </row>
    <row r="69" spans="1:9" ht="26.25" customHeight="1" thickBot="1" x14ac:dyDescent="0.25">
      <c r="A69" s="1150" t="str">
        <f>F!A135</f>
        <v>F22</v>
      </c>
      <c r="B69" s="2255"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v>
      </c>
      <c r="H69" s="2271" t="s">
        <v>1349</v>
      </c>
      <c r="I69" s="283" t="s">
        <v>1350</v>
      </c>
    </row>
    <row r="70" spans="1:9" x14ac:dyDescent="0.2">
      <c r="A70" s="1151"/>
      <c r="B70" s="2256"/>
      <c r="C70" s="292" t="str">
        <f>F!C136</f>
        <v xml:space="preserve">None, or &lt;0.01 hectare and &lt;1% of the AA. </v>
      </c>
      <c r="D70" s="479">
        <f>F!D136</f>
        <v>0</v>
      </c>
      <c r="E70" s="26">
        <v>0</v>
      </c>
      <c r="F70" s="76">
        <f>D70*E70</f>
        <v>0</v>
      </c>
      <c r="G70" s="191"/>
      <c r="H70" s="2266"/>
      <c r="I70" s="64"/>
    </row>
    <row r="71" spans="1:9" x14ac:dyDescent="0.2">
      <c r="A71" s="1151"/>
      <c r="B71" s="2256"/>
      <c r="C71" s="698" t="str">
        <f>F!C137</f>
        <v>1-20% of the AA, or &lt;1% but &gt;0.01 ha.</v>
      </c>
      <c r="D71" s="557">
        <f>F!D137</f>
        <v>0</v>
      </c>
      <c r="E71" s="26">
        <v>1</v>
      </c>
      <c r="F71" s="76">
        <f>D71*E71</f>
        <v>0</v>
      </c>
      <c r="G71" s="192"/>
      <c r="H71" s="2266"/>
      <c r="I71" s="64"/>
    </row>
    <row r="72" spans="1:9" x14ac:dyDescent="0.2">
      <c r="A72" s="1151"/>
      <c r="B72" s="2256"/>
      <c r="C72" s="698" t="str">
        <f>F!C138</f>
        <v>20-50% of the AA.</v>
      </c>
      <c r="D72" s="557">
        <f>F!D138</f>
        <v>0</v>
      </c>
      <c r="E72" s="26">
        <v>2</v>
      </c>
      <c r="F72" s="76">
        <f>D72*E72</f>
        <v>0</v>
      </c>
      <c r="G72" s="192"/>
      <c r="H72" s="2266"/>
      <c r="I72" s="64"/>
    </row>
    <row r="73" spans="1:9" x14ac:dyDescent="0.2">
      <c r="A73" s="1151"/>
      <c r="B73" s="2256"/>
      <c r="C73" s="698" t="str">
        <f>F!C139</f>
        <v>50-95% of the AA.</v>
      </c>
      <c r="D73" s="557">
        <f>F!D139</f>
        <v>0</v>
      </c>
      <c r="E73" s="26">
        <v>4</v>
      </c>
      <c r="F73" s="76">
        <f>D73*E73</f>
        <v>0</v>
      </c>
      <c r="G73" s="192"/>
      <c r="H73" s="2266"/>
      <c r="I73" s="64"/>
    </row>
    <row r="74" spans="1:9" ht="13.5" thickBot="1" x14ac:dyDescent="0.25">
      <c r="A74" s="1152"/>
      <c r="B74" s="2257"/>
      <c r="C74" s="696" t="str">
        <f>F!C140</f>
        <v xml:space="preserve">&gt;95% of the AA. </v>
      </c>
      <c r="D74" s="794">
        <f>F!D140</f>
        <v>0</v>
      </c>
      <c r="E74" s="67">
        <v>3</v>
      </c>
      <c r="F74" s="77">
        <f>D74*E74</f>
        <v>0</v>
      </c>
      <c r="G74" s="193"/>
      <c r="H74" s="2267"/>
      <c r="I74" s="282"/>
    </row>
    <row r="75" spans="1:9" ht="51.75" customHeight="1" thickBot="1" x14ac:dyDescent="0.25">
      <c r="A75" s="1150" t="str">
        <f>F!A142</f>
        <v>F23</v>
      </c>
      <c r="B75" s="2255"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v>
      </c>
      <c r="H75" s="2271" t="s">
        <v>1351</v>
      </c>
      <c r="I75" s="283" t="s">
        <v>1352</v>
      </c>
    </row>
    <row r="76" spans="1:9" x14ac:dyDescent="0.2">
      <c r="A76" s="1151"/>
      <c r="B76" s="2256"/>
      <c r="C76" s="698" t="str">
        <f>F!C143</f>
        <v>None or trace.</v>
      </c>
      <c r="D76" s="557">
        <f>F!D143</f>
        <v>0</v>
      </c>
      <c r="E76" s="75">
        <v>0</v>
      </c>
      <c r="F76" s="76">
        <f>D76*E76</f>
        <v>0</v>
      </c>
      <c r="G76" s="192"/>
      <c r="H76" s="2266"/>
      <c r="I76" s="64"/>
    </row>
    <row r="77" spans="1:9" x14ac:dyDescent="0.2">
      <c r="A77" s="1151"/>
      <c r="B77" s="2256"/>
      <c r="C77" s="698" t="str">
        <f>F!C144</f>
        <v>1-20% of the AA.</v>
      </c>
      <c r="D77" s="557">
        <f>F!D144</f>
        <v>0</v>
      </c>
      <c r="E77" s="26">
        <v>1</v>
      </c>
      <c r="F77" s="76">
        <f>D77*E77</f>
        <v>0</v>
      </c>
      <c r="G77" s="191"/>
      <c r="H77" s="2266"/>
      <c r="I77" s="64"/>
    </row>
    <row r="78" spans="1:9" x14ac:dyDescent="0.2">
      <c r="A78" s="1151"/>
      <c r="B78" s="2256"/>
      <c r="C78" s="698" t="str">
        <f>F!C145</f>
        <v>20-50% of the AA.</v>
      </c>
      <c r="D78" s="557">
        <f>F!D145</f>
        <v>0</v>
      </c>
      <c r="E78" s="26">
        <v>3</v>
      </c>
      <c r="F78" s="76">
        <f>D78*E78</f>
        <v>0</v>
      </c>
      <c r="G78" s="192"/>
      <c r="H78" s="2266"/>
      <c r="I78" s="64"/>
    </row>
    <row r="79" spans="1:9" x14ac:dyDescent="0.2">
      <c r="A79" s="1151"/>
      <c r="B79" s="2256"/>
      <c r="C79" s="698" t="str">
        <f>F!C146</f>
        <v>50-95% of the AA.</v>
      </c>
      <c r="D79" s="557">
        <f>F!D146</f>
        <v>0</v>
      </c>
      <c r="E79" s="26">
        <v>4</v>
      </c>
      <c r="F79" s="76">
        <f>D79*E79</f>
        <v>0</v>
      </c>
      <c r="G79" s="192"/>
      <c r="H79" s="2266"/>
      <c r="I79" s="64"/>
    </row>
    <row r="80" spans="1:9" ht="13.5" thickBot="1" x14ac:dyDescent="0.25">
      <c r="A80" s="1152"/>
      <c r="B80" s="2257"/>
      <c r="C80" s="696" t="str">
        <f>F!C147</f>
        <v>&gt;95% of the AA. True for many fringe wetlands.</v>
      </c>
      <c r="D80" s="794">
        <f>F!D147</f>
        <v>0</v>
      </c>
      <c r="E80" s="67">
        <v>2</v>
      </c>
      <c r="F80" s="77">
        <f>D80*E80</f>
        <v>0</v>
      </c>
      <c r="G80" s="193"/>
      <c r="H80" s="2267"/>
      <c r="I80" s="282"/>
    </row>
    <row r="81" spans="1:9" ht="39" thickBot="1" x14ac:dyDescent="0.25">
      <c r="A81" s="1150" t="str">
        <f>F!A149</f>
        <v>F24</v>
      </c>
      <c r="B81" s="2255"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271" t="s">
        <v>1353</v>
      </c>
      <c r="I81" s="283" t="s">
        <v>1354</v>
      </c>
    </row>
    <row r="82" spans="1:9" ht="25.5" x14ac:dyDescent="0.2">
      <c r="A82" s="1151"/>
      <c r="B82" s="2256"/>
      <c r="C82" s="695" t="str">
        <f>F!C150</f>
        <v xml:space="preserve">&lt;1% . In other words, all or nearly all of the AA is covered by water permanently or at least seasonally.  </v>
      </c>
      <c r="D82" s="401">
        <f>F!D150</f>
        <v>0</v>
      </c>
      <c r="E82" s="93">
        <v>5</v>
      </c>
      <c r="F82" s="76">
        <f t="shared" ref="F82:F87" si="2">D82*E82</f>
        <v>0</v>
      </c>
      <c r="G82" s="192"/>
      <c r="H82" s="2266"/>
      <c r="I82" s="64"/>
    </row>
    <row r="83" spans="1:9" x14ac:dyDescent="0.2">
      <c r="A83" s="1151"/>
      <c r="B83" s="2256"/>
      <c r="C83" s="695" t="str">
        <f>F!C151</f>
        <v>1-25% of the AA,  or &lt;1% but &gt;0.01 ha never contains surface water.</v>
      </c>
      <c r="D83" s="401">
        <f>F!D151</f>
        <v>0</v>
      </c>
      <c r="E83" s="93">
        <v>6</v>
      </c>
      <c r="F83" s="76">
        <f t="shared" si="2"/>
        <v>0</v>
      </c>
      <c r="G83" s="192"/>
      <c r="H83" s="2266"/>
      <c r="I83" s="64"/>
    </row>
    <row r="84" spans="1:9" x14ac:dyDescent="0.2">
      <c r="A84" s="1151"/>
      <c r="B84" s="2256"/>
      <c r="C84" s="695" t="str">
        <f>F!C152</f>
        <v>25-50% of the AA never contains surface water.</v>
      </c>
      <c r="D84" s="401">
        <f>F!D152</f>
        <v>0</v>
      </c>
      <c r="E84" s="93">
        <v>4</v>
      </c>
      <c r="F84" s="76">
        <f t="shared" si="2"/>
        <v>0</v>
      </c>
      <c r="G84" s="192"/>
      <c r="H84" s="2266"/>
      <c r="I84" s="64"/>
    </row>
    <row r="85" spans="1:9" x14ac:dyDescent="0.2">
      <c r="A85" s="1151"/>
      <c r="B85" s="2256"/>
      <c r="C85" s="695" t="str">
        <f>F!C153</f>
        <v>50-75% of the AA never contains surface water.</v>
      </c>
      <c r="D85" s="401">
        <f>F!D153</f>
        <v>0</v>
      </c>
      <c r="E85" s="93">
        <v>3</v>
      </c>
      <c r="F85" s="76">
        <f t="shared" si="2"/>
        <v>0</v>
      </c>
      <c r="G85" s="192"/>
      <c r="H85" s="2266"/>
      <c r="I85" s="64"/>
    </row>
    <row r="86" spans="1:9" ht="30.75" customHeight="1" x14ac:dyDescent="0.2">
      <c r="A86" s="1151"/>
      <c r="B86" s="2256"/>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266"/>
      <c r="I86" s="64"/>
    </row>
    <row r="87" spans="1:9" ht="26.25" thickBot="1" x14ac:dyDescent="0.25">
      <c r="A87" s="1152"/>
      <c r="B87" s="2257"/>
      <c r="C87" s="697" t="str">
        <f>F!C155</f>
        <v>&gt; 99%. AND during most years there is never more than 0.1 ha of ponded surface water within the AA. Enter "1" and SKIP to F43 (Channel Connection).</v>
      </c>
      <c r="D87" s="480">
        <f>F!D155</f>
        <v>0</v>
      </c>
      <c r="E87" s="97">
        <v>0</v>
      </c>
      <c r="F87" s="77">
        <f t="shared" si="2"/>
        <v>0</v>
      </c>
      <c r="G87" s="193"/>
      <c r="H87" s="2267"/>
      <c r="I87" s="282"/>
    </row>
    <row r="88" spans="1:9" ht="26.25" customHeight="1" thickBot="1" x14ac:dyDescent="0.25">
      <c r="A88" s="2382" t="str">
        <f>F!A168</f>
        <v>F28</v>
      </c>
      <c r="B88" s="2255"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271" t="s">
        <v>1355</v>
      </c>
      <c r="I88" s="283" t="s">
        <v>1356</v>
      </c>
    </row>
    <row r="89" spans="1:9" x14ac:dyDescent="0.2">
      <c r="A89" s="2282"/>
      <c r="B89" s="2256"/>
      <c r="C89" s="695" t="str">
        <f>F!C169</f>
        <v>&lt;10 cm change (stable or nearly so).</v>
      </c>
      <c r="D89" s="401">
        <f>F!D169</f>
        <v>0</v>
      </c>
      <c r="E89" s="26">
        <v>0</v>
      </c>
      <c r="F89" s="76">
        <f>D89*E89</f>
        <v>0</v>
      </c>
      <c r="G89" s="191"/>
      <c r="H89" s="2266"/>
      <c r="I89" s="64"/>
    </row>
    <row r="90" spans="1:9" x14ac:dyDescent="0.2">
      <c r="A90" s="2282"/>
      <c r="B90" s="2256"/>
      <c r="C90" s="700" t="str">
        <f>F!C170</f>
        <v>10 cm - 50 cm change.</v>
      </c>
      <c r="D90" s="558">
        <f>F!D170</f>
        <v>0</v>
      </c>
      <c r="E90" s="26">
        <v>2</v>
      </c>
      <c r="F90" s="76">
        <f>D90*E90</f>
        <v>0</v>
      </c>
      <c r="G90" s="192"/>
      <c r="H90" s="2266"/>
      <c r="I90" s="64"/>
    </row>
    <row r="91" spans="1:9" x14ac:dyDescent="0.2">
      <c r="A91" s="2282"/>
      <c r="B91" s="2256"/>
      <c r="C91" s="700" t="str">
        <f>F!C171</f>
        <v>0.5 - 1 m change.</v>
      </c>
      <c r="D91" s="558">
        <f>F!D171</f>
        <v>0</v>
      </c>
      <c r="E91" s="26">
        <v>3</v>
      </c>
      <c r="F91" s="76">
        <f>D91*E91</f>
        <v>0</v>
      </c>
      <c r="G91" s="192"/>
      <c r="H91" s="2266"/>
      <c r="I91" s="64"/>
    </row>
    <row r="92" spans="1:9" x14ac:dyDescent="0.2">
      <c r="A92" s="2282"/>
      <c r="B92" s="2256"/>
      <c r="C92" s="700" t="str">
        <f>F!C172</f>
        <v>1-2 m change.</v>
      </c>
      <c r="D92" s="558">
        <f>F!D172</f>
        <v>0</v>
      </c>
      <c r="E92" s="25">
        <v>4</v>
      </c>
      <c r="F92" s="79">
        <f>D92*E92</f>
        <v>0</v>
      </c>
      <c r="G92" s="211"/>
      <c r="H92" s="2266"/>
      <c r="I92" s="64"/>
    </row>
    <row r="93" spans="1:9" ht="13.5" thickBot="1" x14ac:dyDescent="0.25">
      <c r="A93" s="2421"/>
      <c r="B93" s="2257"/>
      <c r="C93" s="700" t="str">
        <f>F!C173</f>
        <v>&gt;2 m change.</v>
      </c>
      <c r="D93" s="558">
        <f>F!D173</f>
        <v>0</v>
      </c>
      <c r="E93" s="25">
        <v>5</v>
      </c>
      <c r="F93" s="79">
        <f>D93*E93</f>
        <v>0</v>
      </c>
      <c r="G93" s="211"/>
      <c r="H93" s="2267"/>
      <c r="I93" s="282"/>
    </row>
    <row r="94" spans="1:9" ht="39" customHeight="1" thickBot="1" x14ac:dyDescent="0.25">
      <c r="A94" s="1176" t="str">
        <f>F!A187</f>
        <v>F31</v>
      </c>
      <c r="B94" s="2255"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v>
      </c>
      <c r="H94" s="2271" t="s">
        <v>1357</v>
      </c>
      <c r="I94" s="283" t="s">
        <v>1358</v>
      </c>
    </row>
    <row r="95" spans="1:9" ht="25.5" customHeight="1" x14ac:dyDescent="0.2">
      <c r="A95" s="1151"/>
      <c r="B95" s="2256"/>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266"/>
      <c r="I95" s="64"/>
    </row>
    <row r="96" spans="1:9" x14ac:dyDescent="0.2">
      <c r="A96" s="1151"/>
      <c r="B96" s="2256"/>
      <c r="C96" s="700" t="str">
        <f>F!C189</f>
        <v>5-30% of the water.</v>
      </c>
      <c r="D96" s="558">
        <f>F!D189</f>
        <v>0</v>
      </c>
      <c r="E96" s="26">
        <v>2</v>
      </c>
      <c r="F96" s="76">
        <f>D96*E96</f>
        <v>0</v>
      </c>
      <c r="G96" s="192"/>
      <c r="H96" s="2266"/>
      <c r="I96" s="64"/>
    </row>
    <row r="97" spans="1:9" x14ac:dyDescent="0.2">
      <c r="A97" s="1151"/>
      <c r="B97" s="2256"/>
      <c r="C97" s="700" t="str">
        <f>F!C190</f>
        <v>30-70% of the water.</v>
      </c>
      <c r="D97" s="558">
        <f>F!D190</f>
        <v>0</v>
      </c>
      <c r="E97" s="26">
        <v>3</v>
      </c>
      <c r="F97" s="76">
        <f>D97*E97</f>
        <v>0</v>
      </c>
      <c r="G97" s="192"/>
      <c r="H97" s="2266"/>
      <c r="I97" s="64"/>
    </row>
    <row r="98" spans="1:9" x14ac:dyDescent="0.2">
      <c r="A98" s="1151"/>
      <c r="B98" s="2256"/>
      <c r="C98" s="700" t="str">
        <f>F!C191</f>
        <v>70-95% of the water.</v>
      </c>
      <c r="D98" s="558">
        <f>F!D191</f>
        <v>0</v>
      </c>
      <c r="E98" s="26">
        <v>4</v>
      </c>
      <c r="F98" s="76">
        <f>D98*E98</f>
        <v>0</v>
      </c>
      <c r="G98" s="192"/>
      <c r="H98" s="2266"/>
      <c r="I98" s="64"/>
    </row>
    <row r="99" spans="1:9" ht="13.5" thickBot="1" x14ac:dyDescent="0.25">
      <c r="A99" s="1152"/>
      <c r="B99" s="2257"/>
      <c r="C99" s="696" t="str">
        <f>F!C192</f>
        <v>&gt;95% of the water. Includes but not limited to wetlands with no outlets (F42).</v>
      </c>
      <c r="D99" s="794">
        <f>F!D192</f>
        <v>0</v>
      </c>
      <c r="E99" s="67">
        <v>6</v>
      </c>
      <c r="F99" s="77">
        <f>D99*E99</f>
        <v>0</v>
      </c>
      <c r="G99" s="193"/>
      <c r="H99" s="2267"/>
      <c r="I99" s="282"/>
    </row>
    <row r="100" spans="1:9" ht="39" customHeight="1" thickBot="1" x14ac:dyDescent="0.25">
      <c r="A100" s="1175" t="str">
        <f>F!A195</f>
        <v>F33</v>
      </c>
      <c r="B100" s="2255"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v>
      </c>
      <c r="H100" s="2271" t="s">
        <v>1359</v>
      </c>
      <c r="I100" s="283" t="s">
        <v>1360</v>
      </c>
    </row>
    <row r="101" spans="1:9" ht="25.5" x14ac:dyDescent="0.2">
      <c r="A101" s="1175"/>
      <c r="B101" s="2256"/>
      <c r="C101" s="292" t="str">
        <f>F!C196</f>
        <v>None, or &lt;1% of the AA and largest pool occupies &lt;0.01 hectares. Enter "1" and SKIP to F38 (Floating Algae &amp; Duckweed).</v>
      </c>
      <c r="D101" s="479">
        <f>F!D196</f>
        <v>0</v>
      </c>
      <c r="E101" s="76">
        <v>5</v>
      </c>
      <c r="F101" s="76">
        <f t="shared" ref="F101:F106" si="3">D101*E101</f>
        <v>0</v>
      </c>
      <c r="G101" s="191"/>
      <c r="H101" s="2266"/>
      <c r="I101" s="64"/>
    </row>
    <row r="102" spans="1:9" ht="25.5" x14ac:dyDescent="0.2">
      <c r="A102" s="1175"/>
      <c r="B102" s="2256"/>
      <c r="C102" s="698" t="str">
        <f>F!C197</f>
        <v>1-4% of the ponded water. Enter "1" and SKIP to F38 (Floating Algae &amp; Duckweed).</v>
      </c>
      <c r="D102" s="557">
        <f>F!D197</f>
        <v>0</v>
      </c>
      <c r="E102" s="76">
        <v>4</v>
      </c>
      <c r="F102" s="76">
        <f t="shared" si="3"/>
        <v>0</v>
      </c>
      <c r="G102" s="192"/>
      <c r="H102" s="2266"/>
      <c r="I102" s="64"/>
    </row>
    <row r="103" spans="1:9" x14ac:dyDescent="0.2">
      <c r="A103" s="1175"/>
      <c r="B103" s="2256"/>
      <c r="C103" s="698" t="str">
        <f>F!C198</f>
        <v>5-30% of the ponded water.</v>
      </c>
      <c r="D103" s="557">
        <f>F!D198</f>
        <v>0</v>
      </c>
      <c r="E103" s="76">
        <v>3</v>
      </c>
      <c r="F103" s="76">
        <f t="shared" si="3"/>
        <v>0</v>
      </c>
      <c r="G103" s="192"/>
      <c r="H103" s="2266"/>
      <c r="I103" s="64"/>
    </row>
    <row r="104" spans="1:9" x14ac:dyDescent="0.2">
      <c r="A104" s="1175"/>
      <c r="B104" s="2256"/>
      <c r="C104" s="698" t="str">
        <f>F!C199</f>
        <v>30-70% of the ponded water.</v>
      </c>
      <c r="D104" s="557">
        <f>F!D199</f>
        <v>0</v>
      </c>
      <c r="E104" s="76">
        <v>2</v>
      </c>
      <c r="F104" s="76">
        <f t="shared" si="3"/>
        <v>0</v>
      </c>
      <c r="G104" s="192"/>
      <c r="H104" s="2266"/>
      <c r="I104" s="64"/>
    </row>
    <row r="105" spans="1:9" x14ac:dyDescent="0.2">
      <c r="A105" s="1175"/>
      <c r="B105" s="2256"/>
      <c r="C105" s="698" t="str">
        <f>F!C200</f>
        <v>70-99% of the ponded water.</v>
      </c>
      <c r="D105" s="557">
        <f>F!D200</f>
        <v>0</v>
      </c>
      <c r="E105" s="76">
        <v>1</v>
      </c>
      <c r="F105" s="76">
        <f t="shared" si="3"/>
        <v>0</v>
      </c>
      <c r="G105" s="192"/>
      <c r="H105" s="2266"/>
      <c r="I105" s="64"/>
    </row>
    <row r="106" spans="1:9" ht="13.5" thickBot="1" x14ac:dyDescent="0.25">
      <c r="A106" s="1179"/>
      <c r="B106" s="2257"/>
      <c r="C106" s="698" t="str">
        <f>F!C201</f>
        <v xml:space="preserve">100% of the ponded water. </v>
      </c>
      <c r="D106" s="557">
        <f>F!D201</f>
        <v>0</v>
      </c>
      <c r="E106" s="77">
        <v>0</v>
      </c>
      <c r="F106" s="77">
        <f t="shared" si="3"/>
        <v>0</v>
      </c>
      <c r="G106" s="193"/>
      <c r="H106" s="2267"/>
      <c r="I106" s="282"/>
    </row>
    <row r="107" spans="1:9" ht="45" customHeight="1" thickBot="1" x14ac:dyDescent="0.25">
      <c r="A107" s="1176" t="str">
        <f>F!A202</f>
        <v>F34</v>
      </c>
      <c r="B107" s="2283"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v>
      </c>
      <c r="H107" s="2271" t="s">
        <v>1361</v>
      </c>
      <c r="I107" s="283" t="s">
        <v>1362</v>
      </c>
    </row>
    <row r="108" spans="1:9" x14ac:dyDescent="0.2">
      <c r="A108" s="1177"/>
      <c r="B108" s="2264"/>
      <c r="C108" s="695" t="str">
        <f>F!C203</f>
        <v>&lt;1 m.</v>
      </c>
      <c r="D108" s="401">
        <f>F!D203</f>
        <v>0</v>
      </c>
      <c r="E108" s="76">
        <v>0</v>
      </c>
      <c r="F108" s="76">
        <f t="shared" ref="F108:F113" si="4">D108*E108</f>
        <v>0</v>
      </c>
      <c r="G108" s="191"/>
      <c r="H108" s="2266"/>
      <c r="I108" s="64"/>
    </row>
    <row r="109" spans="1:9" x14ac:dyDescent="0.2">
      <c r="A109" s="1177"/>
      <c r="B109" s="2264"/>
      <c r="C109" s="700" t="str">
        <f>F!C204</f>
        <v>1 - 9 m.</v>
      </c>
      <c r="D109" s="558">
        <f>F!D204</f>
        <v>0</v>
      </c>
      <c r="E109" s="76">
        <v>1</v>
      </c>
      <c r="F109" s="76">
        <f t="shared" si="4"/>
        <v>0</v>
      </c>
      <c r="G109" s="192"/>
      <c r="H109" s="2266"/>
      <c r="I109" s="64"/>
    </row>
    <row r="110" spans="1:9" x14ac:dyDescent="0.2">
      <c r="A110" s="1177"/>
      <c r="B110" s="2264"/>
      <c r="C110" s="700" t="str">
        <f>F!C205</f>
        <v>10 - 29 m.</v>
      </c>
      <c r="D110" s="558">
        <f>F!D205</f>
        <v>0</v>
      </c>
      <c r="E110" s="76">
        <v>2</v>
      </c>
      <c r="F110" s="76">
        <f t="shared" si="4"/>
        <v>0</v>
      </c>
      <c r="G110" s="192"/>
      <c r="H110" s="2266"/>
      <c r="I110" s="64"/>
    </row>
    <row r="111" spans="1:9" x14ac:dyDescent="0.2">
      <c r="A111" s="1177"/>
      <c r="B111" s="2264"/>
      <c r="C111" s="700" t="str">
        <f>F!C206</f>
        <v>30 - 49 m.</v>
      </c>
      <c r="D111" s="558">
        <f>F!D206</f>
        <v>0</v>
      </c>
      <c r="E111" s="76">
        <v>3</v>
      </c>
      <c r="F111" s="76">
        <f t="shared" si="4"/>
        <v>0</v>
      </c>
      <c r="G111" s="192"/>
      <c r="H111" s="2266"/>
      <c r="I111" s="64"/>
    </row>
    <row r="112" spans="1:9" x14ac:dyDescent="0.2">
      <c r="A112" s="1177"/>
      <c r="B112" s="2264"/>
      <c r="C112" s="700" t="str">
        <f>F!C207</f>
        <v>50 - 100 m.</v>
      </c>
      <c r="D112" s="558">
        <f>F!D207</f>
        <v>0</v>
      </c>
      <c r="E112" s="79">
        <v>5</v>
      </c>
      <c r="F112" s="79">
        <f t="shared" si="4"/>
        <v>0</v>
      </c>
      <c r="G112" s="211"/>
      <c r="H112" s="2266"/>
      <c r="I112" s="64"/>
    </row>
    <row r="113" spans="1:10" ht="21.75" customHeight="1" thickBot="1" x14ac:dyDescent="0.25">
      <c r="A113" s="1178"/>
      <c r="B113" s="2370"/>
      <c r="C113" s="700" t="str">
        <f>F!C208</f>
        <v>&gt; 100 m, or open water is absent at that time.</v>
      </c>
      <c r="D113" s="558">
        <f>F!D208</f>
        <v>0</v>
      </c>
      <c r="E113" s="77">
        <v>7</v>
      </c>
      <c r="F113" s="77">
        <f t="shared" si="4"/>
        <v>0</v>
      </c>
      <c r="G113" s="193"/>
      <c r="H113" s="2267"/>
      <c r="I113" s="282"/>
    </row>
    <row r="114" spans="1:10" ht="26.25" customHeight="1" thickBot="1" x14ac:dyDescent="0.25">
      <c r="A114" s="1176" t="str">
        <f>F!A217</f>
        <v>F36</v>
      </c>
      <c r="B114" s="2283"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271" t="s">
        <v>1363</v>
      </c>
      <c r="I114" s="283" t="s">
        <v>1364</v>
      </c>
    </row>
    <row r="115" spans="1:10" ht="25.5" x14ac:dyDescent="0.2">
      <c r="A115" s="1151"/>
      <c r="B115" s="2264"/>
      <c r="C115" s="302" t="str">
        <f>F!C218</f>
        <v>Scattered. More than 30% of such vegetation forms small islands or corridors surrounded by water.</v>
      </c>
      <c r="D115" s="401">
        <f>F!D218</f>
        <v>0</v>
      </c>
      <c r="E115" s="76">
        <v>3</v>
      </c>
      <c r="F115" s="76">
        <f>D115*E115</f>
        <v>0</v>
      </c>
      <c r="G115" s="181"/>
      <c r="H115" s="2266"/>
      <c r="I115" s="64"/>
    </row>
    <row r="116" spans="1:10" x14ac:dyDescent="0.2">
      <c r="A116" s="1151"/>
      <c r="B116" s="2264"/>
      <c r="C116" s="303" t="str">
        <f>F!C219</f>
        <v>Intermediate.</v>
      </c>
      <c r="D116" s="558">
        <f>F!D219</f>
        <v>0</v>
      </c>
      <c r="E116" s="76">
        <v>2</v>
      </c>
      <c r="F116" s="76">
        <f>D116*E116</f>
        <v>0</v>
      </c>
      <c r="G116" s="181"/>
      <c r="H116" s="2266"/>
      <c r="I116" s="64"/>
    </row>
    <row r="117" spans="1:10" ht="26.25" thickBot="1" x14ac:dyDescent="0.25">
      <c r="A117" s="1152"/>
      <c r="B117" s="2370"/>
      <c r="C117" s="571" t="str">
        <f>F!C220</f>
        <v>Clumped. More than 70% of such vegetation is in bands along the wetland perimeter or is clumped at one or a few sides of the surface water area.</v>
      </c>
      <c r="D117" s="794">
        <f>F!D220</f>
        <v>0</v>
      </c>
      <c r="E117" s="77">
        <v>0</v>
      </c>
      <c r="F117" s="77">
        <f>D117*E117</f>
        <v>0</v>
      </c>
      <c r="G117" s="182"/>
      <c r="H117" s="2267"/>
      <c r="I117" s="282"/>
    </row>
    <row r="118" spans="1:10" ht="77.25" thickBot="1" x14ac:dyDescent="0.25">
      <c r="A118" s="1175" t="str">
        <f>F!A232</f>
        <v>F43</v>
      </c>
      <c r="B118" s="2255"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271" t="s">
        <v>8627</v>
      </c>
      <c r="I118" s="283" t="s">
        <v>1365</v>
      </c>
      <c r="J118" s="10"/>
    </row>
    <row r="119" spans="1:10" x14ac:dyDescent="0.2">
      <c r="A119" s="1175"/>
      <c r="B119" s="2256"/>
      <c r="C119" s="695" t="str">
        <f>F!C233</f>
        <v>Persistent (surface water flows out for &gt;9 months/year).</v>
      </c>
      <c r="D119" s="401">
        <f>F!D233</f>
        <v>0</v>
      </c>
      <c r="E119" s="76">
        <v>0</v>
      </c>
      <c r="F119" s="76">
        <f>D119*E119</f>
        <v>0</v>
      </c>
      <c r="G119" s="191"/>
      <c r="H119" s="2266"/>
      <c r="I119" s="64"/>
    </row>
    <row r="120" spans="1:10" ht="25.5" x14ac:dyDescent="0.2">
      <c r="A120" s="1175"/>
      <c r="B120" s="2256"/>
      <c r="C120" s="700" t="str">
        <f>F!C234</f>
        <v>Seasonal (surface water flows out for 14 days to 9 months/year, not necessarily consecutive).</v>
      </c>
      <c r="D120" s="558">
        <f>F!D234</f>
        <v>0</v>
      </c>
      <c r="E120" s="76">
        <v>2</v>
      </c>
      <c r="F120" s="76">
        <f>D120*E120</f>
        <v>0</v>
      </c>
      <c r="G120" s="192"/>
      <c r="H120" s="2266"/>
      <c r="I120" s="64"/>
    </row>
    <row r="121" spans="1:10" x14ac:dyDescent="0.2">
      <c r="A121" s="1175"/>
      <c r="B121" s="2256"/>
      <c r="C121" s="700" t="str">
        <f>F!C235</f>
        <v>Temporary (surface water flows out for &lt;14 days, not necessarily consecutive).</v>
      </c>
      <c r="D121" s="558">
        <f>F!D235</f>
        <v>0</v>
      </c>
      <c r="E121" s="76">
        <v>3</v>
      </c>
      <c r="F121" s="76">
        <f>D121*E121</f>
        <v>0</v>
      </c>
      <c r="G121" s="192"/>
      <c r="H121" s="2266"/>
      <c r="I121" s="64"/>
    </row>
    <row r="122" spans="1:10" ht="25.5" customHeight="1" x14ac:dyDescent="0.2">
      <c r="A122" s="1175"/>
      <c r="B122" s="2256"/>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266"/>
      <c r="I122" s="64"/>
    </row>
    <row r="123" spans="1:10" ht="39" thickBot="1" x14ac:dyDescent="0.25">
      <c r="A123" s="1175"/>
      <c r="B123" s="2257"/>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267"/>
      <c r="I123" s="282"/>
    </row>
    <row r="124" spans="1:10" ht="26.25" customHeight="1" thickBot="1" x14ac:dyDescent="0.25">
      <c r="A124" s="1150" t="str">
        <f>F!A239</f>
        <v>F44</v>
      </c>
      <c r="B124" s="2255"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271" t="s">
        <v>1366</v>
      </c>
      <c r="I124" s="283" t="s">
        <v>1367</v>
      </c>
    </row>
    <row r="125" spans="1:10" ht="38.25" x14ac:dyDescent="0.2">
      <c r="A125" s="1151"/>
      <c r="B125" s="2256"/>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66"/>
      <c r="I125" s="64"/>
    </row>
    <row r="126" spans="1:10" ht="25.5" x14ac:dyDescent="0.2">
      <c r="A126" s="1151"/>
      <c r="B126" s="2256"/>
      <c r="C126" s="700" t="str">
        <f>F!C241</f>
        <v>Leaves through natural exits (channels or diffuse outflow), not mainly through artificial or temporary features.</v>
      </c>
      <c r="D126" s="558">
        <f>F!D241</f>
        <v>0</v>
      </c>
      <c r="E126" s="76">
        <v>2</v>
      </c>
      <c r="F126" s="76">
        <f>D126*E126</f>
        <v>0</v>
      </c>
      <c r="G126" s="238"/>
      <c r="H126" s="2266"/>
      <c r="I126" s="64"/>
    </row>
    <row r="127" spans="1:10" ht="39" thickBot="1" x14ac:dyDescent="0.25">
      <c r="A127" s="1151"/>
      <c r="B127" s="2257"/>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267"/>
      <c r="I127" s="282"/>
    </row>
    <row r="128" spans="1:10" ht="26.25" customHeight="1" thickBot="1" x14ac:dyDescent="0.25">
      <c r="A128" s="1150" t="str">
        <f>F!A244</f>
        <v>F45</v>
      </c>
      <c r="B128" s="2255"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271" t="s">
        <v>1368</v>
      </c>
      <c r="I128" s="283" t="s">
        <v>1369</v>
      </c>
    </row>
    <row r="129" spans="1:9" ht="51" x14ac:dyDescent="0.2">
      <c r="A129" s="1151"/>
      <c r="B129" s="2256"/>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66"/>
      <c r="I129" s="64"/>
    </row>
    <row r="130" spans="1:9" x14ac:dyDescent="0.2">
      <c r="A130" s="1151"/>
      <c r="B130" s="2256"/>
      <c r="C130" s="700" t="str">
        <f>F!C246</f>
        <v>Bumps into herbaceous vegetation but mostly remains in fairly straight channels.</v>
      </c>
      <c r="D130" s="558">
        <f>F!D246</f>
        <v>0</v>
      </c>
      <c r="E130" s="76">
        <v>1</v>
      </c>
      <c r="F130" s="76">
        <f>D130*E130</f>
        <v>0</v>
      </c>
      <c r="G130" s="192"/>
      <c r="H130" s="2266"/>
      <c r="I130" s="64"/>
    </row>
    <row r="131" spans="1:9" ht="25.5" x14ac:dyDescent="0.2">
      <c r="A131" s="1151"/>
      <c r="B131" s="2256"/>
      <c r="C131" s="700" t="str">
        <f>F!C247</f>
        <v>Bumps into herbaceous vegetation and mostly spreads throughout, or is in widely meandering, multi-branched, or braided channels.</v>
      </c>
      <c r="D131" s="558">
        <f>F!D247</f>
        <v>0</v>
      </c>
      <c r="E131" s="76">
        <v>2</v>
      </c>
      <c r="F131" s="76">
        <f>D131*E131</f>
        <v>0</v>
      </c>
      <c r="G131" s="192"/>
      <c r="H131" s="2266"/>
      <c r="I131" s="64"/>
    </row>
    <row r="132" spans="1:9" ht="25.5" x14ac:dyDescent="0.2">
      <c r="A132" s="1151"/>
      <c r="B132" s="2256"/>
      <c r="C132" s="700" t="str">
        <f>F!C248</f>
        <v>Bumps into tree trunks and/or shrub stems but mostly remains in fairly straight channels.</v>
      </c>
      <c r="D132" s="558">
        <f>F!D248</f>
        <v>0</v>
      </c>
      <c r="E132" s="76">
        <v>3</v>
      </c>
      <c r="F132" s="76">
        <f>D132*E132</f>
        <v>0</v>
      </c>
      <c r="G132" s="192"/>
      <c r="H132" s="2266"/>
      <c r="I132" s="64"/>
    </row>
    <row r="133" spans="1:9" ht="26.25" thickBot="1" x14ac:dyDescent="0.25">
      <c r="A133" s="1152"/>
      <c r="B133" s="2257"/>
      <c r="C133" s="696" t="str">
        <f>F!C249</f>
        <v>Bumps into tree trunks and/or shrub stems and follows a fairly indirect path from entrance to exit (meandering, multi-branched, or braided).</v>
      </c>
      <c r="D133" s="794">
        <f>F!D249</f>
        <v>0</v>
      </c>
      <c r="E133" s="77">
        <v>4</v>
      </c>
      <c r="F133" s="77">
        <f>D133*E133</f>
        <v>0</v>
      </c>
      <c r="G133" s="193"/>
      <c r="H133" s="2267"/>
      <c r="I133" s="282"/>
    </row>
    <row r="134" spans="1:9" ht="13.5" customHeight="1" thickBot="1" x14ac:dyDescent="0.25">
      <c r="A134" s="1153" t="str">
        <f>F!A255</f>
        <v>F48</v>
      </c>
      <c r="B134" s="2246" t="str">
        <f>F!B255</f>
        <v>Groundwater Strength of Evidence [WS, SFTS, PRb, NR, APP, FA, FR, AM]</v>
      </c>
      <c r="C134" s="357" t="str">
        <f>F!C255</f>
        <v>Select first applicable choice:</v>
      </c>
      <c r="D134" s="801"/>
      <c r="E134" s="80"/>
      <c r="F134" s="81"/>
      <c r="G134" s="165">
        <f>MAX(F135:F137)/MAX(E135:E137)</f>
        <v>0</v>
      </c>
      <c r="H134" s="2252" t="s">
        <v>1372</v>
      </c>
      <c r="I134" s="283" t="s">
        <v>1373</v>
      </c>
    </row>
    <row r="135" spans="1:9" ht="56.25" customHeight="1" x14ac:dyDescent="0.2">
      <c r="A135" s="1173"/>
      <c r="B135" s="2247"/>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53"/>
      <c r="I135" s="64"/>
    </row>
    <row r="136" spans="1:9" ht="38.25" x14ac:dyDescent="0.2">
      <c r="A136" s="1173"/>
      <c r="B136" s="2247"/>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253"/>
      <c r="I136" s="64"/>
    </row>
    <row r="137" spans="1:9" ht="26.25" thickBot="1" x14ac:dyDescent="0.25">
      <c r="A137" s="1173"/>
      <c r="B137" s="2247"/>
      <c r="C137" s="698" t="str">
        <f>F!C258</f>
        <v>Neither of above is true, although some groundwater may discharge to or flow through the AA. Or groundwater influx is unknown.</v>
      </c>
      <c r="D137" s="557">
        <f>F!D258</f>
        <v>0</v>
      </c>
      <c r="E137" s="79">
        <v>0</v>
      </c>
      <c r="F137" s="79">
        <f>D137*E137</f>
        <v>0</v>
      </c>
      <c r="G137" s="211"/>
      <c r="H137" s="2253"/>
      <c r="I137" s="282"/>
    </row>
    <row r="138" spans="1:9" ht="13.5" customHeight="1" thickBot="1" x14ac:dyDescent="0.25">
      <c r="A138" s="2379" t="str">
        <f>F!A260</f>
        <v>F49</v>
      </c>
      <c r="B138" s="2246" t="str">
        <f>F!B260</f>
        <v>Internal Gradient [WS, SR, PR, NR, OE, WBF, WBN]</v>
      </c>
      <c r="C138" s="699" t="str">
        <f>F!C260</f>
        <v>The gradient along most of the flow path within the AA is:</v>
      </c>
      <c r="D138" s="574"/>
      <c r="E138" s="80"/>
      <c r="F138" s="81"/>
      <c r="G138" s="672">
        <f>MAX(F139:F142)/MAX(E139:E142)</f>
        <v>0</v>
      </c>
      <c r="H138" s="2271" t="s">
        <v>1374</v>
      </c>
      <c r="I138" s="2252" t="s">
        <v>1375</v>
      </c>
    </row>
    <row r="139" spans="1:9" x14ac:dyDescent="0.2">
      <c r="A139" s="2380"/>
      <c r="B139" s="2247"/>
      <c r="C139" s="303" t="str">
        <f>F!C261</f>
        <v>&lt;2% or the AA has no surface water outlet (not even seasonally).</v>
      </c>
      <c r="D139" s="448">
        <f>F!D261</f>
        <v>0</v>
      </c>
      <c r="E139" s="76">
        <v>4</v>
      </c>
      <c r="F139" s="76">
        <f>D139*E139</f>
        <v>0</v>
      </c>
      <c r="G139" s="191"/>
      <c r="H139" s="2266"/>
      <c r="I139" s="2253"/>
    </row>
    <row r="140" spans="1:9" x14ac:dyDescent="0.2">
      <c r="A140" s="2380"/>
      <c r="B140" s="2247"/>
      <c r="C140" s="303" t="str">
        <f>F!C262</f>
        <v>2-5%.</v>
      </c>
      <c r="D140" s="399">
        <f>F!D262</f>
        <v>0</v>
      </c>
      <c r="E140" s="76">
        <v>2</v>
      </c>
      <c r="F140" s="76">
        <f>D140*E140</f>
        <v>0</v>
      </c>
      <c r="G140" s="192"/>
      <c r="H140" s="2266"/>
      <c r="I140" s="2253"/>
    </row>
    <row r="141" spans="1:9" x14ac:dyDescent="0.2">
      <c r="A141" s="2380"/>
      <c r="B141" s="2247"/>
      <c r="C141" s="303" t="str">
        <f>F!C263</f>
        <v>6-10%.</v>
      </c>
      <c r="D141" s="399">
        <f>F!D263</f>
        <v>0</v>
      </c>
      <c r="E141" s="76">
        <v>1</v>
      </c>
      <c r="F141" s="76">
        <f>D141*E141</f>
        <v>0</v>
      </c>
      <c r="G141" s="192"/>
      <c r="H141" s="2266"/>
      <c r="I141" s="2253"/>
    </row>
    <row r="142" spans="1:9" ht="13.5" thickBot="1" x14ac:dyDescent="0.25">
      <c r="A142" s="2381"/>
      <c r="B142" s="2248"/>
      <c r="C142" s="571" t="str">
        <f>F!C264</f>
        <v>&gt;10%.</v>
      </c>
      <c r="D142" s="400">
        <f>F!D264</f>
        <v>0</v>
      </c>
      <c r="E142" s="77">
        <v>0</v>
      </c>
      <c r="F142" s="77">
        <f>D142*E142</f>
        <v>0</v>
      </c>
      <c r="G142" s="193"/>
      <c r="H142" s="2267"/>
      <c r="I142" s="2254"/>
    </row>
    <row r="143" spans="1:9" ht="39" customHeight="1" thickBot="1" x14ac:dyDescent="0.25">
      <c r="A143" s="2379" t="str">
        <f>F!A286</f>
        <v>F54</v>
      </c>
      <c r="B143" s="2246"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v>
      </c>
      <c r="H143" s="2418" t="s">
        <v>1376</v>
      </c>
      <c r="I143" s="2334" t="s">
        <v>1377</v>
      </c>
    </row>
    <row r="144" spans="1:9" ht="25.5" x14ac:dyDescent="0.2">
      <c r="A144" s="2380"/>
      <c r="B144" s="2247"/>
      <c r="C144" s="303" t="str">
        <f>F!C287</f>
        <v>No. Also mark this if site was once tidal but within the past decade was converted to non-tidal by dyking.</v>
      </c>
      <c r="D144" s="558">
        <f>F!D287</f>
        <v>0</v>
      </c>
      <c r="E144" s="79">
        <v>5</v>
      </c>
      <c r="F144" s="76">
        <f>D144*E144</f>
        <v>0</v>
      </c>
      <c r="G144" s="238"/>
      <c r="H144" s="2419"/>
      <c r="I144" s="2332"/>
    </row>
    <row r="145" spans="1:9" x14ac:dyDescent="0.2">
      <c r="A145" s="2380"/>
      <c r="B145" s="2247"/>
      <c r="C145" s="303" t="str">
        <f>F!C288</f>
        <v xml:space="preserve">Yes, and created or expanded 20 - 100 years ago. </v>
      </c>
      <c r="D145" s="399">
        <f>F!D288</f>
        <v>0</v>
      </c>
      <c r="E145" s="76">
        <v>2</v>
      </c>
      <c r="F145" s="76">
        <f>D145*E145</f>
        <v>0</v>
      </c>
      <c r="G145" s="192"/>
      <c r="H145" s="2419"/>
      <c r="I145" s="2332"/>
    </row>
    <row r="146" spans="1:9" s="21" customFormat="1" x14ac:dyDescent="0.2">
      <c r="A146" s="2380"/>
      <c r="B146" s="2247"/>
      <c r="C146" s="303" t="str">
        <f>F!C289</f>
        <v>Yes, and created or expanded 3-20 years ago.</v>
      </c>
      <c r="D146" s="399">
        <f>F!D289</f>
        <v>0</v>
      </c>
      <c r="E146" s="76">
        <v>1</v>
      </c>
      <c r="F146" s="76">
        <f>D146*E146</f>
        <v>0</v>
      </c>
      <c r="G146" s="192"/>
      <c r="H146" s="2419"/>
      <c r="I146" s="2332"/>
    </row>
    <row r="147" spans="1:9" x14ac:dyDescent="0.2">
      <c r="A147" s="2380"/>
      <c r="B147" s="2247"/>
      <c r="C147" s="303" t="str">
        <f>F!C290</f>
        <v>Yes, and created or expanded within last 3 years.</v>
      </c>
      <c r="D147" s="558">
        <f>F!D290</f>
        <v>0</v>
      </c>
      <c r="E147" s="76">
        <v>0</v>
      </c>
      <c r="F147" s="76">
        <f>D147*E147</f>
        <v>0</v>
      </c>
      <c r="G147" s="192"/>
      <c r="H147" s="2419"/>
      <c r="I147" s="2332"/>
    </row>
    <row r="148" spans="1:9" x14ac:dyDescent="0.2">
      <c r="A148" s="2380"/>
      <c r="B148" s="2247"/>
      <c r="C148" s="303" t="str">
        <f>F!C291</f>
        <v>Yes, but time of origin or expansion unknown.</v>
      </c>
      <c r="D148" s="558">
        <f>F!D291</f>
        <v>0</v>
      </c>
      <c r="E148" s="76">
        <v>1</v>
      </c>
      <c r="F148" s="76">
        <f>D148*E148</f>
        <v>0</v>
      </c>
      <c r="G148" s="192"/>
      <c r="H148" s="2419"/>
      <c r="I148" s="2332"/>
    </row>
    <row r="149" spans="1:9" ht="13.5" thickBot="1" x14ac:dyDescent="0.25">
      <c r="A149" s="2381"/>
      <c r="B149" s="2248"/>
      <c r="C149" s="571" t="str">
        <f>F!C292</f>
        <v>Unknown if new or expanded within 20 years or not.</v>
      </c>
      <c r="D149" s="794">
        <f>F!D292</f>
        <v>0</v>
      </c>
      <c r="E149" s="77"/>
      <c r="F149" s="77"/>
      <c r="G149" s="193"/>
      <c r="H149" s="2420"/>
      <c r="I149" s="2333"/>
    </row>
    <row r="150" spans="1:9" ht="21" customHeight="1" thickBot="1" x14ac:dyDescent="0.25">
      <c r="A150" s="1151" t="str">
        <f>F!A337</f>
        <v>F65</v>
      </c>
      <c r="B150" s="2255" t="str">
        <f>F!B337</f>
        <v>pH Measurement [PR, NR, CSP, APP, FA, FR, AM, WBN, Sens]</v>
      </c>
      <c r="C150" s="697" t="str">
        <f>F!C337</f>
        <v>The pH in most of the AA's surface water:</v>
      </c>
      <c r="D150" s="865"/>
      <c r="E150" s="75"/>
      <c r="F150" s="78"/>
      <c r="G150" s="348" t="str">
        <f>IF((D153=1),"", IF((D134=1),0, IF((D151=""),"",IF((D151&lt;6),D147/10, IF((D151&gt;8.5),1-(D151/10),1)))))</f>
        <v/>
      </c>
      <c r="H150" s="2271" t="s">
        <v>1370</v>
      </c>
      <c r="I150" s="283" t="s">
        <v>1371</v>
      </c>
    </row>
    <row r="151" spans="1:9" ht="24" customHeight="1" thickBot="1" x14ac:dyDescent="0.25">
      <c r="A151" s="1151"/>
      <c r="B151" s="2256"/>
      <c r="C151" s="292" t="str">
        <f>F!C338</f>
        <v>Was measured, and is:  [enter the reading in the column to the right.]</v>
      </c>
      <c r="D151" s="1897" t="str">
        <f>IF((F!D338=""),"",F!D338)</f>
        <v/>
      </c>
      <c r="E151" s="86"/>
      <c r="F151" s="76"/>
      <c r="G151" s="191"/>
      <c r="H151" s="2266"/>
      <c r="I151" s="64"/>
    </row>
    <row r="152" spans="1:9" ht="38.25" x14ac:dyDescent="0.2">
      <c r="A152" s="1151"/>
      <c r="B152" s="2256"/>
      <c r="C152" s="698" t="str">
        <f>F!C339</f>
        <v xml:space="preserve">Was not measured but surface water is present and is darkly tea-coloured.  Or if no surface water, then mosses and plants that indicate peatland (e.g., Labrador tea) are prevalent. Enter "1". </v>
      </c>
      <c r="D152" s="479">
        <f>F!D339</f>
        <v>1</v>
      </c>
      <c r="E152" s="76"/>
      <c r="F152" s="76"/>
      <c r="G152" s="192"/>
      <c r="H152" s="2266"/>
      <c r="I152" s="64"/>
    </row>
    <row r="153" spans="1:9" ht="13.5" thickBot="1" x14ac:dyDescent="0.25">
      <c r="A153" s="1152"/>
      <c r="B153" s="2257"/>
      <c r="C153" s="696" t="str">
        <f>F!C340</f>
        <v>Neither of above. Enter "1".</v>
      </c>
      <c r="D153" s="794">
        <f>F!D340</f>
        <v>0</v>
      </c>
      <c r="E153" s="77"/>
      <c r="F153" s="77"/>
      <c r="G153" s="193"/>
      <c r="H153" s="2267"/>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246"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v>
      </c>
      <c r="H156" s="2252" t="s">
        <v>1380</v>
      </c>
      <c r="I156" s="375" t="s">
        <v>1381</v>
      </c>
    </row>
    <row r="157" spans="1:9" x14ac:dyDescent="0.2">
      <c r="A157" s="1155"/>
      <c r="B157" s="2247"/>
      <c r="C157" s="695" t="str">
        <f>OF!C54</f>
        <v>&lt;100 m.</v>
      </c>
      <c r="D157" s="401">
        <f>OF!D54</f>
        <v>0</v>
      </c>
      <c r="E157" s="75">
        <v>6</v>
      </c>
      <c r="F157" s="76">
        <f>D157*E157</f>
        <v>0</v>
      </c>
      <c r="G157" s="191"/>
      <c r="H157" s="2253"/>
      <c r="I157" s="376"/>
    </row>
    <row r="158" spans="1:9" x14ac:dyDescent="0.2">
      <c r="A158" s="1155"/>
      <c r="B158" s="2247"/>
      <c r="C158" s="700" t="str">
        <f>OF!C55</f>
        <v>100 - 500 m.</v>
      </c>
      <c r="D158" s="558">
        <f>OF!D55</f>
        <v>0</v>
      </c>
      <c r="E158" s="75">
        <v>4</v>
      </c>
      <c r="F158" s="76">
        <f>D158*E158</f>
        <v>0</v>
      </c>
      <c r="G158" s="191"/>
      <c r="H158" s="2253"/>
      <c r="I158" s="376"/>
    </row>
    <row r="159" spans="1:9" x14ac:dyDescent="0.2">
      <c r="A159" s="1155"/>
      <c r="B159" s="2247"/>
      <c r="C159" s="700" t="str">
        <f>OF!C56</f>
        <v>0.5- 1 km.</v>
      </c>
      <c r="D159" s="558">
        <f>OF!D56</f>
        <v>0</v>
      </c>
      <c r="E159" s="75">
        <v>3</v>
      </c>
      <c r="F159" s="76">
        <f>D159*E159</f>
        <v>0</v>
      </c>
      <c r="G159" s="191"/>
      <c r="H159" s="2253"/>
      <c r="I159" s="376"/>
    </row>
    <row r="160" spans="1:9" x14ac:dyDescent="0.2">
      <c r="A160" s="1155"/>
      <c r="B160" s="2247"/>
      <c r="C160" s="700" t="str">
        <f>OF!C57</f>
        <v>1 - 5 km.</v>
      </c>
      <c r="D160" s="558">
        <f>OF!D57</f>
        <v>0</v>
      </c>
      <c r="E160" s="75">
        <v>2</v>
      </c>
      <c r="F160" s="76">
        <f>D160*E160</f>
        <v>0</v>
      </c>
      <c r="G160" s="191"/>
      <c r="H160" s="2253"/>
      <c r="I160" s="376"/>
    </row>
    <row r="161" spans="1:9" ht="13.5" thickBot="1" x14ac:dyDescent="0.25">
      <c r="A161" s="1157"/>
      <c r="B161" s="2248"/>
      <c r="C161" s="696" t="str">
        <f>OF!C58</f>
        <v>&gt;5 km.</v>
      </c>
      <c r="D161" s="794">
        <f>OF!D58</f>
        <v>0</v>
      </c>
      <c r="E161" s="77">
        <v>0</v>
      </c>
      <c r="F161" s="77">
        <f>D161*E161</f>
        <v>0</v>
      </c>
      <c r="G161" s="193"/>
      <c r="H161" s="2254"/>
      <c r="I161" s="377"/>
    </row>
    <row r="162" spans="1:9" ht="13.5" customHeight="1" thickBot="1" x14ac:dyDescent="0.25">
      <c r="A162" s="2329" t="str">
        <f>OF!A60</f>
        <v>OF10</v>
      </c>
      <c r="B162" s="2246" t="str">
        <f>OF!B60</f>
        <v>Distance to Domestic Wells [NRb, CRI]</v>
      </c>
      <c r="C162" s="701" t="str">
        <f>OF!C60</f>
        <v>The closest wells or water bodies that currently provide drinking water are:</v>
      </c>
      <c r="D162" s="865"/>
      <c r="E162" s="80"/>
      <c r="F162" s="81"/>
      <c r="G162" s="184">
        <f>MAX(F163:F165)/MAX(E163:E165)</f>
        <v>0</v>
      </c>
      <c r="H162" s="2252" t="s">
        <v>1382</v>
      </c>
      <c r="I162" s="283" t="s">
        <v>1383</v>
      </c>
    </row>
    <row r="163" spans="1:9" x14ac:dyDescent="0.2">
      <c r="A163" s="2330"/>
      <c r="B163" s="2247"/>
      <c r="C163" s="700" t="str">
        <f>OF!C61</f>
        <v>Within 0-100 m. of the AA.</v>
      </c>
      <c r="D163" s="399">
        <f>OF!D61</f>
        <v>0</v>
      </c>
      <c r="E163" s="86">
        <v>3</v>
      </c>
      <c r="F163" s="76">
        <f>D163*E163</f>
        <v>0</v>
      </c>
      <c r="G163" s="191"/>
      <c r="H163" s="2253"/>
      <c r="I163" s="64"/>
    </row>
    <row r="164" spans="1:9" x14ac:dyDescent="0.2">
      <c r="A164" s="2330"/>
      <c r="B164" s="2247"/>
      <c r="C164" s="700" t="str">
        <f>OF!C62</f>
        <v>100-500 m. away.</v>
      </c>
      <c r="D164" s="399">
        <f>OF!D62</f>
        <v>0</v>
      </c>
      <c r="E164" s="86">
        <v>2</v>
      </c>
      <c r="F164" s="76">
        <f>D164*E164</f>
        <v>0</v>
      </c>
      <c r="G164" s="192"/>
      <c r="H164" s="2253"/>
      <c r="I164" s="64"/>
    </row>
    <row r="165" spans="1:9" ht="13.5" thickBot="1" x14ac:dyDescent="0.25">
      <c r="A165" s="2331"/>
      <c r="B165" s="2248"/>
      <c r="C165" s="696" t="str">
        <f>OF!C63</f>
        <v>&gt;500 m. away</v>
      </c>
      <c r="D165" s="400">
        <f>OF!D63</f>
        <v>0</v>
      </c>
      <c r="E165" s="87">
        <v>0</v>
      </c>
      <c r="F165" s="77">
        <f>D165*E165</f>
        <v>0</v>
      </c>
      <c r="G165" s="193"/>
      <c r="H165" s="2254"/>
      <c r="I165" s="282"/>
    </row>
    <row r="166" spans="1:9" ht="26.25" customHeight="1" thickBot="1" x14ac:dyDescent="0.25">
      <c r="A166" s="1155" t="str">
        <f>OF!A65</f>
        <v>OF11</v>
      </c>
      <c r="B166" s="2247"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v>
      </c>
      <c r="H166" s="2253" t="s">
        <v>1384</v>
      </c>
      <c r="I166" s="283" t="s">
        <v>1385</v>
      </c>
    </row>
    <row r="167" spans="1:9" x14ac:dyDescent="0.2">
      <c r="A167" s="1155"/>
      <c r="B167" s="2247"/>
      <c r="C167" s="701" t="str">
        <f>OF!C66</f>
        <v>&lt;10 m.</v>
      </c>
      <c r="D167" s="479">
        <f>OF!D66</f>
        <v>0</v>
      </c>
      <c r="E167" s="75">
        <v>7</v>
      </c>
      <c r="F167" s="76">
        <f t="shared" ref="F167:F172" si="5">D167*E167</f>
        <v>0</v>
      </c>
      <c r="G167" s="192"/>
      <c r="H167" s="2253"/>
      <c r="I167" s="64"/>
    </row>
    <row r="168" spans="1:9" x14ac:dyDescent="0.2">
      <c r="A168" s="1155"/>
      <c r="B168" s="2247"/>
      <c r="C168" s="698" t="str">
        <f>OF!C67</f>
        <v>10 - 25 m.</v>
      </c>
      <c r="D168" s="557">
        <f>OF!D67</f>
        <v>0</v>
      </c>
      <c r="E168" s="75">
        <v>5</v>
      </c>
      <c r="F168" s="76">
        <f t="shared" si="5"/>
        <v>0</v>
      </c>
      <c r="G168" s="192"/>
      <c r="H168" s="2253"/>
      <c r="I168" s="64"/>
    </row>
    <row r="169" spans="1:9" x14ac:dyDescent="0.2">
      <c r="A169" s="1155"/>
      <c r="B169" s="2247"/>
      <c r="C169" s="698" t="str">
        <f>OF!C68</f>
        <v>25 - 50 m.</v>
      </c>
      <c r="D169" s="557">
        <f>OF!D68</f>
        <v>0</v>
      </c>
      <c r="E169" s="75">
        <v>4</v>
      </c>
      <c r="F169" s="76">
        <f t="shared" si="5"/>
        <v>0</v>
      </c>
      <c r="G169" s="192"/>
      <c r="H169" s="2253"/>
      <c r="I169" s="64"/>
    </row>
    <row r="170" spans="1:9" x14ac:dyDescent="0.2">
      <c r="A170" s="1155"/>
      <c r="B170" s="2247"/>
      <c r="C170" s="698" t="str">
        <f>OF!C69</f>
        <v>50 - 100 m.</v>
      </c>
      <c r="D170" s="557">
        <f>OF!D69</f>
        <v>0</v>
      </c>
      <c r="E170" s="75">
        <v>3</v>
      </c>
      <c r="F170" s="76">
        <f t="shared" si="5"/>
        <v>0</v>
      </c>
      <c r="G170" s="192"/>
      <c r="H170" s="2253"/>
      <c r="I170" s="64"/>
    </row>
    <row r="171" spans="1:9" x14ac:dyDescent="0.2">
      <c r="A171" s="1155"/>
      <c r="B171" s="2247"/>
      <c r="C171" s="698" t="str">
        <f>OF!C70</f>
        <v>100 - 500 m.</v>
      </c>
      <c r="D171" s="557">
        <f>OF!D70</f>
        <v>0</v>
      </c>
      <c r="E171" s="79">
        <v>2</v>
      </c>
      <c r="F171" s="79">
        <f t="shared" si="5"/>
        <v>0</v>
      </c>
      <c r="G171" s="192"/>
      <c r="H171" s="2253"/>
      <c r="I171" s="64"/>
    </row>
    <row r="172" spans="1:9" ht="13.5" thickBot="1" x14ac:dyDescent="0.25">
      <c r="A172" s="1157"/>
      <c r="B172" s="2248"/>
      <c r="C172" s="696" t="str">
        <f>OF!C71</f>
        <v>&gt;500 m.</v>
      </c>
      <c r="D172" s="794">
        <f>OF!D71</f>
        <v>0</v>
      </c>
      <c r="E172" s="79">
        <v>0</v>
      </c>
      <c r="F172" s="77">
        <f t="shared" si="5"/>
        <v>0</v>
      </c>
      <c r="G172" s="193"/>
      <c r="H172" s="2254"/>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1386</v>
      </c>
      <c r="I173" s="282" t="s">
        <v>1387</v>
      </c>
    </row>
    <row r="174" spans="1:9" ht="39" thickBot="1" x14ac:dyDescent="0.25">
      <c r="A174" s="1155" t="str">
        <f>OF!A111</f>
        <v>OF20</v>
      </c>
      <c r="B174" s="2246"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1</v>
      </c>
      <c r="H174" s="2252" t="s">
        <v>1388</v>
      </c>
      <c r="I174" s="283" t="s">
        <v>1389</v>
      </c>
    </row>
    <row r="175" spans="1:9" x14ac:dyDescent="0.2">
      <c r="A175" s="1155"/>
      <c r="B175" s="2247"/>
      <c r="C175" s="302" t="str">
        <f>OF!C112</f>
        <v>The condition is present within the AA.</v>
      </c>
      <c r="D175" s="401">
        <f>OF!D112</f>
        <v>0</v>
      </c>
      <c r="E175" s="76"/>
      <c r="F175" s="76"/>
      <c r="G175" s="192"/>
      <c r="H175" s="2253"/>
      <c r="I175" s="64"/>
    </row>
    <row r="176" spans="1:9" ht="25.5" x14ac:dyDescent="0.2">
      <c r="A176" s="1155"/>
      <c r="B176" s="2247"/>
      <c r="C176" s="303" t="str">
        <f>OF!C113</f>
        <v>The condition is present in waters within 1 km that flow into the AA, but has not been documented in the AA itself.</v>
      </c>
      <c r="D176" s="558">
        <f>OF!D113</f>
        <v>0</v>
      </c>
      <c r="E176" s="76"/>
      <c r="F176" s="76"/>
      <c r="G176" s="192"/>
      <c r="H176" s="2253"/>
      <c r="I176" s="64"/>
    </row>
    <row r="177" spans="1:9" ht="25.5" x14ac:dyDescent="0.2">
      <c r="A177" s="1155"/>
      <c r="B177" s="2247"/>
      <c r="C177" s="303" t="str">
        <f>OF!C114</f>
        <v>Sampling during both low water periods and times with high runoff (storms, snowmelt) indicates no problems in either the AA or inflowing waters.</v>
      </c>
      <c r="D177" s="558">
        <f>OF!D114</f>
        <v>0</v>
      </c>
      <c r="E177" s="76"/>
      <c r="F177" s="76"/>
      <c r="G177" s="192"/>
      <c r="H177" s="2253"/>
      <c r="I177" s="64"/>
    </row>
    <row r="178" spans="1:9" ht="26.25" thickBot="1" x14ac:dyDescent="0.25">
      <c r="A178" s="1157"/>
      <c r="B178" s="2248"/>
      <c r="C178" s="571" t="str">
        <f>OF!C115</f>
        <v>Data are insufficient (no or inadequate sampling within 1 km, or condition exists only at &gt;1 km upstream). This is the situation for nearly all wetlands in this region.</v>
      </c>
      <c r="D178" s="794">
        <f>OF!D115</f>
        <v>0</v>
      </c>
      <c r="E178" s="77"/>
      <c r="F178" s="77"/>
      <c r="G178" s="193"/>
      <c r="H178" s="2254"/>
      <c r="I178" s="282"/>
    </row>
    <row r="179" spans="1:9" ht="13.5" customHeight="1" thickBot="1" x14ac:dyDescent="0.25">
      <c r="A179" s="1154" t="str">
        <f>OF!A116</f>
        <v>OF21</v>
      </c>
      <c r="B179" s="2246" t="str">
        <f>OF!B116</f>
        <v>Degraded Water Downstream [SRb, PRb, NRb]</v>
      </c>
      <c r="C179" s="744" t="str">
        <f>OF!C116</f>
        <v>The problem described above is downslope from the AA, and:</v>
      </c>
      <c r="D179" s="801"/>
      <c r="E179" s="80"/>
      <c r="F179" s="80"/>
      <c r="G179" s="183">
        <f>IF((D183=1),"", IF((D117=1),0, IF((D116=1),0.5, 1)))</f>
        <v>1</v>
      </c>
      <c r="H179" s="2252" t="s">
        <v>1148</v>
      </c>
      <c r="I179" s="283" t="s">
        <v>1390</v>
      </c>
    </row>
    <row r="180" spans="1:9" ht="25.5" x14ac:dyDescent="0.2">
      <c r="A180" s="1155"/>
      <c r="B180" s="2247"/>
      <c r="C180" s="302" t="str">
        <f>OF!C117</f>
        <v>The condition is present within 1 km downslope and connected to the AA by a channel.</v>
      </c>
      <c r="D180" s="401">
        <f>OF!D117</f>
        <v>0</v>
      </c>
      <c r="E180" s="76"/>
      <c r="F180" s="76"/>
      <c r="G180" s="192"/>
      <c r="H180" s="2253"/>
      <c r="I180" s="64"/>
    </row>
    <row r="181" spans="1:9" ht="25.5" x14ac:dyDescent="0.2">
      <c r="A181" s="1155"/>
      <c r="B181" s="2247"/>
      <c r="C181" s="303" t="str">
        <f>OF!C118</f>
        <v>The condition is present within 5 km downslope and connected to the AA by a channel, or within 1 km but not connected to the AA by a channel.</v>
      </c>
      <c r="D181" s="558">
        <f>OF!D118</f>
        <v>0</v>
      </c>
      <c r="E181" s="76"/>
      <c r="F181" s="76"/>
      <c r="G181" s="192"/>
      <c r="H181" s="2253"/>
      <c r="I181" s="64"/>
    </row>
    <row r="182" spans="1:9" ht="25.5" x14ac:dyDescent="0.2">
      <c r="A182" s="1155"/>
      <c r="B182" s="2247"/>
      <c r="C182" s="303" t="str">
        <f>OF!C119</f>
        <v>Sampling during both low water periods and times with high runoff (storms, snowmelt) indicates no problems in either the AA or inflowing waters.</v>
      </c>
      <c r="D182" s="558">
        <f>OF!D119</f>
        <v>0</v>
      </c>
      <c r="E182" s="76"/>
      <c r="F182" s="76"/>
      <c r="G182" s="192"/>
      <c r="H182" s="2253"/>
      <c r="I182" s="64"/>
    </row>
    <row r="183" spans="1:9" ht="39" thickBot="1" x14ac:dyDescent="0.25">
      <c r="A183" s="1157"/>
      <c r="B183" s="2248"/>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54"/>
      <c r="I183" s="282"/>
    </row>
    <row r="184" spans="1:9" ht="13.5" customHeight="1" thickBot="1" x14ac:dyDescent="0.25">
      <c r="A184" s="1155" t="str">
        <f>OF!A121</f>
        <v>OF22</v>
      </c>
      <c r="B184" s="2246"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v>
      </c>
      <c r="H184" s="2252" t="s">
        <v>1391</v>
      </c>
      <c r="I184" s="283" t="s">
        <v>1392</v>
      </c>
    </row>
    <row r="185" spans="1:9" ht="25.5" x14ac:dyDescent="0.2">
      <c r="A185" s="1155"/>
      <c r="B185" s="2247"/>
      <c r="C185" s="699" t="str">
        <f>OF!C122</f>
        <v>&lt;0.01, or catchment size unknown due to stormwater pipes that collect water from an indeterminate area.</v>
      </c>
      <c r="D185" s="401">
        <f>OF!D122</f>
        <v>0</v>
      </c>
      <c r="E185" s="76">
        <v>3</v>
      </c>
      <c r="F185" s="76">
        <f>D185*E185</f>
        <v>0</v>
      </c>
      <c r="G185" s="191"/>
      <c r="H185" s="2253"/>
      <c r="I185" s="64"/>
    </row>
    <row r="186" spans="1:9" x14ac:dyDescent="0.2">
      <c r="A186" s="1155"/>
      <c r="B186" s="2247"/>
      <c r="C186" s="700" t="str">
        <f>OF!C123</f>
        <v>0.01 to 0.1.</v>
      </c>
      <c r="D186" s="558">
        <f>OF!D123</f>
        <v>0</v>
      </c>
      <c r="E186" s="76">
        <v>2</v>
      </c>
      <c r="F186" s="76">
        <f>D186*E186</f>
        <v>0</v>
      </c>
      <c r="G186" s="192"/>
      <c r="H186" s="2253"/>
      <c r="I186" s="64"/>
    </row>
    <row r="187" spans="1:9" x14ac:dyDescent="0.2">
      <c r="A187" s="1155"/>
      <c r="B187" s="2247"/>
      <c r="C187" s="700" t="str">
        <f>OF!C124</f>
        <v>0.1 to 1.</v>
      </c>
      <c r="D187" s="558">
        <f>OF!D124</f>
        <v>0</v>
      </c>
      <c r="E187" s="76">
        <v>1</v>
      </c>
      <c r="F187" s="76">
        <f>D187*E187</f>
        <v>0</v>
      </c>
      <c r="G187" s="192"/>
      <c r="H187" s="2253"/>
      <c r="I187" s="64"/>
    </row>
    <row r="188" spans="1:9" ht="26.25" thickBot="1" x14ac:dyDescent="0.25">
      <c r="A188" s="1157"/>
      <c r="B188" s="2248"/>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54"/>
      <c r="I188" s="282"/>
    </row>
    <row r="189" spans="1:9" ht="39" customHeight="1" thickBot="1" x14ac:dyDescent="0.25">
      <c r="A189" s="1181" t="str">
        <f>OF!A127</f>
        <v>OF23</v>
      </c>
      <c r="B189" s="2246"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52" t="s">
        <v>8628</v>
      </c>
      <c r="I189" s="283" t="s">
        <v>1393</v>
      </c>
    </row>
    <row r="190" spans="1:9" x14ac:dyDescent="0.2">
      <c r="A190" s="1181"/>
      <c r="B190" s="2247"/>
      <c r="C190" s="695" t="str">
        <f>OF!C128</f>
        <v>&lt;10%.</v>
      </c>
      <c r="D190" s="401">
        <f>OF!D128</f>
        <v>0</v>
      </c>
      <c r="E190" s="76">
        <v>0</v>
      </c>
      <c r="F190" s="76">
        <f>D190*E190</f>
        <v>0</v>
      </c>
      <c r="G190" s="191"/>
      <c r="H190" s="2253"/>
      <c r="I190" s="64"/>
    </row>
    <row r="191" spans="1:9" x14ac:dyDescent="0.2">
      <c r="A191" s="1181"/>
      <c r="B191" s="2247"/>
      <c r="C191" s="700" t="str">
        <f>OF!C129</f>
        <v>10 to 25%.</v>
      </c>
      <c r="D191" s="558">
        <f>OF!D129</f>
        <v>0</v>
      </c>
      <c r="E191" s="76">
        <v>2</v>
      </c>
      <c r="F191" s="76">
        <f>D191*E191</f>
        <v>0</v>
      </c>
      <c r="G191" s="192"/>
      <c r="H191" s="2253"/>
      <c r="I191" s="64"/>
    </row>
    <row r="192" spans="1:9" ht="13.5" thickBot="1" x14ac:dyDescent="0.25">
      <c r="A192" s="1181"/>
      <c r="B192" s="2248"/>
      <c r="C192" s="698" t="str">
        <f>OF!C130</f>
        <v>&gt;25%.</v>
      </c>
      <c r="D192" s="557">
        <f>OF!D130</f>
        <v>0</v>
      </c>
      <c r="E192" s="79">
        <v>3</v>
      </c>
      <c r="F192" s="79">
        <f>D192*E192</f>
        <v>0</v>
      </c>
      <c r="G192" s="211"/>
      <c r="H192" s="2254"/>
      <c r="I192" s="282"/>
    </row>
    <row r="193" spans="1:30" ht="141" thickBot="1" x14ac:dyDescent="0.25">
      <c r="A193" s="1154" t="str">
        <f>OF!A131</f>
        <v>OF24</v>
      </c>
      <c r="B193" s="2246"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v>
      </c>
      <c r="H193" s="2252" t="s">
        <v>8777</v>
      </c>
      <c r="I193" s="283" t="s">
        <v>1394</v>
      </c>
    </row>
    <row r="194" spans="1:30" x14ac:dyDescent="0.2">
      <c r="A194" s="1155"/>
      <c r="B194" s="2247"/>
      <c r="C194" s="695" t="str">
        <f>OF!C132</f>
        <v>Mostly true.</v>
      </c>
      <c r="D194" s="401">
        <f>OF!D132</f>
        <v>0</v>
      </c>
      <c r="E194" s="76">
        <v>2</v>
      </c>
      <c r="F194" s="76">
        <f>D194*E194</f>
        <v>0</v>
      </c>
      <c r="G194" s="191"/>
      <c r="H194" s="2253"/>
      <c r="I194" s="64"/>
    </row>
    <row r="195" spans="1:30" x14ac:dyDescent="0.2">
      <c r="A195" s="1155"/>
      <c r="B195" s="2247"/>
      <c r="C195" s="700" t="str">
        <f>OF!C133</f>
        <v>Somewhat true.</v>
      </c>
      <c r="D195" s="558">
        <f>OF!D133</f>
        <v>0</v>
      </c>
      <c r="E195" s="76">
        <v>1</v>
      </c>
      <c r="F195" s="76">
        <f>D195*E195</f>
        <v>0</v>
      </c>
      <c r="G195" s="192"/>
      <c r="H195" s="2253"/>
      <c r="I195" s="64"/>
    </row>
    <row r="196" spans="1:30" ht="13.5" thickBot="1" x14ac:dyDescent="0.25">
      <c r="A196" s="1157"/>
      <c r="B196" s="2248"/>
      <c r="C196" s="696" t="str">
        <f>OF!C134</f>
        <v>Mostly untrue.</v>
      </c>
      <c r="D196" s="794">
        <f>OF!D134</f>
        <v>0</v>
      </c>
      <c r="E196" s="77">
        <v>0</v>
      </c>
      <c r="F196" s="77">
        <f>D196*E196</f>
        <v>0</v>
      </c>
      <c r="G196" s="193"/>
      <c r="H196" s="2254"/>
      <c r="I196" s="282"/>
    </row>
    <row r="197" spans="1:30" ht="26.25" customHeight="1" thickBot="1" x14ac:dyDescent="0.25">
      <c r="A197" s="1164" t="str">
        <f>F!A84</f>
        <v>F13</v>
      </c>
      <c r="B197" s="2246"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v>
      </c>
      <c r="H197" s="2252" t="s">
        <v>1395</v>
      </c>
      <c r="I197" s="283" t="s">
        <v>1396</v>
      </c>
    </row>
    <row r="198" spans="1:30" ht="13.5" thickBot="1" x14ac:dyDescent="0.25">
      <c r="A198" s="1165"/>
      <c r="B198" s="2247"/>
      <c r="C198" s="695" t="str">
        <f>F!C85</f>
        <v>&lt;1% or none.</v>
      </c>
      <c r="D198" s="401">
        <f>F!D85</f>
        <v>0</v>
      </c>
      <c r="E198" s="75">
        <v>0</v>
      </c>
      <c r="F198" s="79">
        <f>D198*E198</f>
        <v>0</v>
      </c>
      <c r="G198" s="192"/>
      <c r="H198" s="2253"/>
      <c r="I198" s="64"/>
    </row>
    <row r="199" spans="1:30" s="252" customFormat="1" ht="25.5" x14ac:dyDescent="0.2">
      <c r="A199" s="1165"/>
      <c r="B199" s="2247"/>
      <c r="C199" s="700" t="str">
        <f>F!C86</f>
        <v>1-25% of the vegetated cover, in the AA or along its water edge (whichever has more).</v>
      </c>
      <c r="D199" s="558">
        <f>F!D86</f>
        <v>0</v>
      </c>
      <c r="E199" s="75">
        <v>1</v>
      </c>
      <c r="F199" s="79">
        <f>D199*E199</f>
        <v>0</v>
      </c>
      <c r="G199" s="192"/>
      <c r="H199" s="2253"/>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247"/>
      <c r="C200" s="700" t="str">
        <f>F!C87</f>
        <v>25-50% of the vegetated cover, in the AA or along its water edge (whichever has more).</v>
      </c>
      <c r="D200" s="558">
        <f>F!D87</f>
        <v>0</v>
      </c>
      <c r="E200" s="75">
        <v>2</v>
      </c>
      <c r="F200" s="79">
        <f>D200*E200</f>
        <v>0</v>
      </c>
      <c r="G200" s="192"/>
      <c r="H200" s="2253"/>
      <c r="I200" s="64"/>
    </row>
    <row r="201" spans="1:30" ht="25.5" x14ac:dyDescent="0.2">
      <c r="A201" s="1165"/>
      <c r="B201" s="2247"/>
      <c r="C201" s="700" t="str">
        <f>F!C88</f>
        <v>50-75% of the vegetated cover, in the AA or along its water edge (whichever has more).</v>
      </c>
      <c r="D201" s="558">
        <f>F!D88</f>
        <v>0</v>
      </c>
      <c r="E201" s="75">
        <v>3</v>
      </c>
      <c r="F201" s="79">
        <f>D201*E201</f>
        <v>0</v>
      </c>
      <c r="G201" s="192"/>
      <c r="H201" s="2253"/>
      <c r="I201" s="64"/>
    </row>
    <row r="202" spans="1:30" ht="26.25" thickBot="1" x14ac:dyDescent="0.25">
      <c r="A202" s="1166"/>
      <c r="B202" s="2248"/>
      <c r="C202" s="698" t="str">
        <f>F!C89</f>
        <v>&gt;75% of the vegetated cover, in the AA or along its water edge (whichever has more).</v>
      </c>
      <c r="D202" s="557">
        <f>F!D89</f>
        <v>0</v>
      </c>
      <c r="E202" s="89">
        <v>4</v>
      </c>
      <c r="F202" s="79">
        <f>D202*E202</f>
        <v>0</v>
      </c>
      <c r="G202" s="211"/>
      <c r="H202" s="2254"/>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52"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254"/>
      <c r="I205" s="64"/>
    </row>
    <row r="206" spans="1:30" ht="51.75" customHeight="1" thickBot="1" x14ac:dyDescent="0.25">
      <c r="A206" s="1209" t="str">
        <f>F!A266</f>
        <v>F50</v>
      </c>
      <c r="B206" s="2246"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v>
      </c>
      <c r="H206" s="2252" t="s">
        <v>1401</v>
      </c>
      <c r="I206" s="283" t="s">
        <v>1402</v>
      </c>
    </row>
    <row r="207" spans="1:30" x14ac:dyDescent="0.2">
      <c r="A207" s="1209"/>
      <c r="B207" s="2247"/>
      <c r="C207" s="701" t="str">
        <f>F!C267</f>
        <v>&lt;5%.</v>
      </c>
      <c r="D207" s="479">
        <f>F!D267</f>
        <v>0</v>
      </c>
      <c r="E207" s="76">
        <v>4</v>
      </c>
      <c r="F207" s="76">
        <f>D207*E207</f>
        <v>0</v>
      </c>
      <c r="G207" s="191"/>
      <c r="H207" s="2253"/>
      <c r="I207" s="64"/>
    </row>
    <row r="208" spans="1:30" x14ac:dyDescent="0.2">
      <c r="A208" s="1209"/>
      <c r="B208" s="2247"/>
      <c r="C208" s="700" t="str">
        <f>F!C268</f>
        <v>5 to &lt;30%.</v>
      </c>
      <c r="D208" s="558">
        <f>F!D268</f>
        <v>0</v>
      </c>
      <c r="E208" s="76">
        <v>3</v>
      </c>
      <c r="F208" s="76">
        <f>D208*E208</f>
        <v>0</v>
      </c>
      <c r="G208" s="192"/>
      <c r="H208" s="2253"/>
      <c r="I208" s="64"/>
    </row>
    <row r="209" spans="1:10" x14ac:dyDescent="0.2">
      <c r="A209" s="1209"/>
      <c r="B209" s="2247"/>
      <c r="C209" s="700" t="str">
        <f>F!C269</f>
        <v>30 to &lt;60%.</v>
      </c>
      <c r="D209" s="558">
        <f>F!D269</f>
        <v>0</v>
      </c>
      <c r="E209" s="76">
        <v>2</v>
      </c>
      <c r="F209" s="76">
        <f>D209*E209</f>
        <v>0</v>
      </c>
      <c r="G209" s="192"/>
      <c r="H209" s="2253"/>
      <c r="I209" s="64"/>
    </row>
    <row r="210" spans="1:10" x14ac:dyDescent="0.2">
      <c r="A210" s="1209"/>
      <c r="B210" s="2247"/>
      <c r="C210" s="700" t="str">
        <f>F!C270</f>
        <v>60 to 90%.</v>
      </c>
      <c r="D210" s="558">
        <f>F!D270</f>
        <v>0</v>
      </c>
      <c r="E210" s="76">
        <v>1</v>
      </c>
      <c r="F210" s="76">
        <f>D210*E210</f>
        <v>0</v>
      </c>
      <c r="G210" s="192"/>
      <c r="H210" s="2253"/>
      <c r="I210" s="64"/>
    </row>
    <row r="211" spans="1:10" ht="13.5" thickBot="1" x14ac:dyDescent="0.25">
      <c r="A211" s="1210"/>
      <c r="B211" s="2248"/>
      <c r="C211" s="697" t="str">
        <f>F!C271</f>
        <v>&gt;90%, or all the area within 30 m of the AA edge is other wetlands. SKIP to F53.</v>
      </c>
      <c r="D211" s="480">
        <f>F!D271</f>
        <v>0</v>
      </c>
      <c r="E211" s="77">
        <v>0</v>
      </c>
      <c r="F211" s="77">
        <f>D211*E211</f>
        <v>0</v>
      </c>
      <c r="G211" s="193"/>
      <c r="H211" s="2254"/>
      <c r="I211" s="282"/>
    </row>
    <row r="212" spans="1:10" ht="26.25" customHeight="1" thickBot="1" x14ac:dyDescent="0.25">
      <c r="A212" s="1165" t="str">
        <f>F!A272</f>
        <v>F51</v>
      </c>
      <c r="B212" s="2246"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0</v>
      </c>
      <c r="H212" s="2252" t="s">
        <v>8630</v>
      </c>
      <c r="I212" s="283" t="s">
        <v>1403</v>
      </c>
    </row>
    <row r="213" spans="1:10" x14ac:dyDescent="0.2">
      <c r="A213" s="1165"/>
      <c r="B213" s="2247"/>
      <c r="C213" s="699" t="str">
        <f>F!C273</f>
        <v>Impervious surface, e.g., paved road, parking lot, building, exposed rock.</v>
      </c>
      <c r="D213" s="401">
        <f>F!D273</f>
        <v>0</v>
      </c>
      <c r="E213" s="76">
        <v>2</v>
      </c>
      <c r="F213" s="79">
        <f>D213*E213</f>
        <v>0</v>
      </c>
      <c r="G213" s="192"/>
      <c r="H213" s="2253"/>
      <c r="I213" s="64"/>
    </row>
    <row r="214" spans="1:10" ht="26.25" thickBot="1" x14ac:dyDescent="0.25">
      <c r="A214" s="1165"/>
      <c r="B214" s="2248"/>
      <c r="C214" s="696" t="str">
        <f>F!C274</f>
        <v>Bare or nearly bare pervious surface (e.g., unpaved road, dike, landslide) or managed or heavily grazed vegetation (e.g., lawn, row crops), .</v>
      </c>
      <c r="D214" s="794">
        <f>F!D274</f>
        <v>0</v>
      </c>
      <c r="E214" s="79">
        <v>1</v>
      </c>
      <c r="F214" s="79">
        <f>D214*E214</f>
        <v>0</v>
      </c>
      <c r="G214" s="211"/>
      <c r="H214" s="2254"/>
      <c r="I214" s="282"/>
    </row>
    <row r="215" spans="1:10" ht="26.25" customHeight="1" thickBot="1" x14ac:dyDescent="0.25">
      <c r="A215" s="1164" t="str">
        <f>F!A275</f>
        <v>F52</v>
      </c>
      <c r="B215" s="2246"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v>
      </c>
      <c r="H215" s="2252" t="s">
        <v>8629</v>
      </c>
      <c r="I215" s="283" t="s">
        <v>1404</v>
      </c>
    </row>
    <row r="216" spans="1:10" ht="25.5" x14ac:dyDescent="0.2">
      <c r="A216" s="1165"/>
      <c r="B216" s="2247"/>
      <c r="C216" s="701" t="str">
        <f>F!C276</f>
        <v>&lt;1% (flat -- almost no noticeable slope) or all the area within 30 m of the AA edge is other wetlands.</v>
      </c>
      <c r="D216" s="479">
        <f>F!D276</f>
        <v>0</v>
      </c>
      <c r="E216" s="76">
        <v>0</v>
      </c>
      <c r="F216" s="76">
        <f>D216*E216</f>
        <v>0</v>
      </c>
      <c r="G216" s="191"/>
      <c r="H216" s="2253"/>
      <c r="I216" s="64"/>
    </row>
    <row r="217" spans="1:10" x14ac:dyDescent="0.2">
      <c r="A217" s="1165"/>
      <c r="B217" s="2247"/>
      <c r="C217" s="700" t="str">
        <f>F!C277</f>
        <v>2-5%.</v>
      </c>
      <c r="D217" s="558">
        <f>F!D277</f>
        <v>0</v>
      </c>
      <c r="E217" s="76">
        <v>1</v>
      </c>
      <c r="F217" s="76">
        <f>D217*E217</f>
        <v>0</v>
      </c>
      <c r="G217" s="192"/>
      <c r="H217" s="2253"/>
      <c r="I217" s="64"/>
    </row>
    <row r="218" spans="1:10" x14ac:dyDescent="0.2">
      <c r="A218" s="1165"/>
      <c r="B218" s="2247"/>
      <c r="C218" s="700" t="str">
        <f>F!C278</f>
        <v>5-30%.</v>
      </c>
      <c r="D218" s="558">
        <f>F!D278</f>
        <v>0</v>
      </c>
      <c r="E218" s="76">
        <v>3</v>
      </c>
      <c r="F218" s="76">
        <f>D218*E218</f>
        <v>0</v>
      </c>
      <c r="G218" s="192"/>
      <c r="H218" s="2253"/>
      <c r="I218" s="64"/>
    </row>
    <row r="219" spans="1:10" s="21" customFormat="1" ht="26.25" customHeight="1" thickBot="1" x14ac:dyDescent="0.25">
      <c r="A219" s="1166"/>
      <c r="B219" s="2248"/>
      <c r="C219" s="697" t="str">
        <f>F!C279</f>
        <v>&gt;30%.</v>
      </c>
      <c r="D219" s="480">
        <f>F!D279</f>
        <v>0</v>
      </c>
      <c r="E219" s="77">
        <v>4</v>
      </c>
      <c r="F219" s="77">
        <f>D219*E219</f>
        <v>0</v>
      </c>
      <c r="G219" s="193"/>
      <c r="H219" s="2254"/>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04" t="s">
        <v>1053</v>
      </c>
      <c r="D222" s="2405"/>
      <c r="E222" s="2410" t="s">
        <v>1407</v>
      </c>
      <c r="F222" s="2411"/>
      <c r="G222" s="655">
        <f xml:space="preserve"> AVERAGE(AVERAGE(WoodyTyp4,Groundw4,TreeCanop4),AVERAGE(Elev4,Warmth4,Aspect4))</f>
        <v>0</v>
      </c>
      <c r="H222" s="656" t="s">
        <v>1408</v>
      </c>
      <c r="I222" s="322" t="s">
        <v>1409</v>
      </c>
      <c r="J222" s="297" t="s">
        <v>1410</v>
      </c>
    </row>
    <row r="223" spans="1:10" ht="28.5" customHeight="1" x14ac:dyDescent="0.2">
      <c r="A223" s="285"/>
      <c r="B223" s="285"/>
      <c r="C223" s="2406"/>
      <c r="D223" s="2407"/>
      <c r="E223" s="2412" t="s">
        <v>1411</v>
      </c>
      <c r="F223" s="2413"/>
      <c r="G223" s="657">
        <f xml:space="preserve"> AVERAGE(PondPct4,VwidthAbs4, FloDist4,Gcover4,ThruFlo4,Interspers4, Elev4,WetPctCA4)</f>
        <v>0</v>
      </c>
      <c r="H223" s="658" t="s">
        <v>1412</v>
      </c>
      <c r="I223" s="323" t="s">
        <v>1413</v>
      </c>
      <c r="J223" s="295" t="s">
        <v>1414</v>
      </c>
    </row>
    <row r="224" spans="1:10" ht="25.5" x14ac:dyDescent="0.2">
      <c r="A224" s="285"/>
      <c r="B224" s="285"/>
      <c r="C224" s="2406"/>
      <c r="D224" s="2407"/>
      <c r="E224" s="2412" t="s">
        <v>1270</v>
      </c>
      <c r="F224" s="2413"/>
      <c r="G224" s="657">
        <f>AVERAGE(OutDura4,Gradient4,Constric4)</f>
        <v>0</v>
      </c>
      <c r="H224" s="658" t="s">
        <v>1415</v>
      </c>
      <c r="I224" s="323" t="s">
        <v>1416</v>
      </c>
      <c r="J224" s="295" t="s">
        <v>1417</v>
      </c>
    </row>
    <row r="225" spans="1:10" ht="25.5" x14ac:dyDescent="0.2">
      <c r="A225" s="285"/>
      <c r="B225" s="285"/>
      <c r="C225" s="2406"/>
      <c r="D225" s="2407"/>
      <c r="E225" s="2412" t="s">
        <v>1418</v>
      </c>
      <c r="F225" s="2413"/>
      <c r="G225" s="657">
        <f>AVERAGE(Acid4,SoilTex4,Wettype4,NewWet,AqPlantCov4, SoilDisturb4)</f>
        <v>0.2</v>
      </c>
      <c r="H225" s="658" t="s">
        <v>1419</v>
      </c>
      <c r="I225" s="323" t="s">
        <v>1420</v>
      </c>
      <c r="J225" s="295" t="s">
        <v>1421</v>
      </c>
    </row>
    <row r="226" spans="1:10" ht="51.75" thickBot="1" x14ac:dyDescent="0.25">
      <c r="A226" s="285"/>
      <c r="B226" s="285"/>
      <c r="C226" s="2408"/>
      <c r="D226" s="2409"/>
      <c r="E226" s="2414" t="s">
        <v>1422</v>
      </c>
      <c r="F226" s="2415"/>
      <c r="G226" s="659">
        <f>(AVERAGE(SatPct4,PermWpct4, SeasWpct4) + AVERAGE(Fluctu4, UpEdgeShape4, Inclus4, Girreg4))/2</f>
        <v>0</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0.25</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 ref="B81:B87"/>
    <mergeCell ref="H81:H87"/>
    <mergeCell ref="B118:B123"/>
    <mergeCell ref="H118:H123"/>
    <mergeCell ref="B75:B80"/>
    <mergeCell ref="H75:H80"/>
    <mergeCell ref="B49:B54"/>
    <mergeCell ref="B55:B58"/>
    <mergeCell ref="H55:H58"/>
    <mergeCell ref="B69:B74"/>
    <mergeCell ref="H69:H74"/>
    <mergeCell ref="B59:B62"/>
    <mergeCell ref="H59:H62"/>
    <mergeCell ref="B63:B68"/>
    <mergeCell ref="H63:H68"/>
    <mergeCell ref="H49:H54"/>
    <mergeCell ref="A1:B1"/>
    <mergeCell ref="H10:H14"/>
    <mergeCell ref="B10:B14"/>
    <mergeCell ref="H15:H18"/>
    <mergeCell ref="B15:B18"/>
    <mergeCell ref="A34:A41"/>
    <mergeCell ref="H3:H8"/>
    <mergeCell ref="B3:B8"/>
    <mergeCell ref="B27:B33"/>
    <mergeCell ref="B42:B48"/>
    <mergeCell ref="B19:B25"/>
    <mergeCell ref="H19:H25"/>
    <mergeCell ref="H27:H33"/>
    <mergeCell ref="H42:H48"/>
    <mergeCell ref="B34:B41"/>
    <mergeCell ref="H34:H41"/>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H204:H205"/>
    <mergeCell ref="B166:B172"/>
    <mergeCell ref="H166:H172"/>
    <mergeCell ref="B174:B178"/>
    <mergeCell ref="H174:H178"/>
    <mergeCell ref="B179:B183"/>
    <mergeCell ref="H179:H183"/>
    <mergeCell ref="H193:H19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C222:D226"/>
    <mergeCell ref="E222:F222"/>
    <mergeCell ref="E223:F223"/>
    <mergeCell ref="E224:F224"/>
    <mergeCell ref="E225:F225"/>
    <mergeCell ref="E226:F226"/>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16" t="s">
        <v>1484</v>
      </c>
      <c r="B1" s="2417"/>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247"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266" t="s">
        <v>8788</v>
      </c>
      <c r="I3" s="283" t="s">
        <v>1486</v>
      </c>
    </row>
    <row r="4" spans="1:11" x14ac:dyDescent="0.2">
      <c r="A4" s="1173"/>
      <c r="B4" s="2247"/>
      <c r="C4" s="700" t="str">
        <f>F!C20</f>
        <v>evergreen trees (may include tamarack) taller than 6 m.</v>
      </c>
      <c r="D4" s="399">
        <f>F!D20</f>
        <v>0</v>
      </c>
      <c r="E4" s="312"/>
      <c r="F4" s="312"/>
      <c r="G4" s="1222"/>
      <c r="H4" s="2266"/>
      <c r="I4" s="64"/>
    </row>
    <row r="5" spans="1:11" x14ac:dyDescent="0.2">
      <c r="A5" s="1173"/>
      <c r="B5" s="2247"/>
      <c r="C5" s="700" t="str">
        <f>F!C21</f>
        <v>deciduous trees taller than 6 m.</v>
      </c>
      <c r="D5" s="399">
        <f>F!D21</f>
        <v>0</v>
      </c>
      <c r="E5" s="312"/>
      <c r="F5" s="312"/>
      <c r="G5" s="1213"/>
      <c r="H5" s="2266"/>
      <c r="I5" s="64"/>
    </row>
    <row r="6" spans="1:11" x14ac:dyDescent="0.2">
      <c r="A6" s="1173"/>
      <c r="B6" s="2247"/>
      <c r="C6" s="700" t="str">
        <f>F!C22</f>
        <v>evergreen shrubs or trees 2 to 6 m tall not directly below the canopy of trees.</v>
      </c>
      <c r="D6" s="399">
        <f>F!D22</f>
        <v>0</v>
      </c>
      <c r="E6" s="312"/>
      <c r="F6" s="312"/>
      <c r="G6" s="1213"/>
      <c r="H6" s="2266"/>
      <c r="I6" s="64"/>
    </row>
    <row r="7" spans="1:11" x14ac:dyDescent="0.2">
      <c r="A7" s="1173"/>
      <c r="B7" s="2247"/>
      <c r="C7" s="700" t="str">
        <f>F!C23</f>
        <v>deciduous shrubs or trees 2 to 6 m tall not directly below the canopy of trees.</v>
      </c>
      <c r="D7" s="399">
        <f>F!D23</f>
        <v>0</v>
      </c>
      <c r="E7" s="312"/>
      <c r="F7" s="312"/>
      <c r="G7" s="1213"/>
      <c r="H7" s="2266"/>
      <c r="I7" s="64"/>
    </row>
    <row r="8" spans="1:11" x14ac:dyDescent="0.2">
      <c r="A8" s="1173"/>
      <c r="B8" s="2247"/>
      <c r="C8" s="700" t="str">
        <f>F!C24</f>
        <v>evergreen vegetation 0.5 to 2 m tall not directly below the canopy of taller vegetation.</v>
      </c>
      <c r="D8" s="399">
        <f>F!D24</f>
        <v>0</v>
      </c>
      <c r="E8" s="312"/>
      <c r="F8" s="312"/>
      <c r="G8" s="1213"/>
      <c r="H8" s="2266"/>
      <c r="I8" s="64"/>
    </row>
    <row r="9" spans="1:11" ht="17.25" customHeight="1" x14ac:dyDescent="0.2">
      <c r="A9" s="1173"/>
      <c r="B9" s="2247"/>
      <c r="C9" s="700" t="str">
        <f>F!C25</f>
        <v>deciduous vegetation 0.5 to 2 m tall (e.g., deciduous seedlings) not directly below the canopy of taller vegetation.</v>
      </c>
      <c r="D9" s="399">
        <f>F!D25</f>
        <v>0</v>
      </c>
      <c r="E9" s="312"/>
      <c r="F9" s="312"/>
      <c r="G9" s="1213"/>
      <c r="H9" s="2266"/>
      <c r="I9" s="64"/>
      <c r="J9" s="2422"/>
      <c r="K9" s="2423"/>
    </row>
    <row r="10" spans="1:11" ht="13.5" thickBot="1" x14ac:dyDescent="0.25">
      <c r="A10" s="1173"/>
      <c r="B10" s="2247"/>
      <c r="C10" s="698" t="str">
        <f>F!C26</f>
        <v>Non-woody vegetation (except mosses) not under a tree or shrub canopy.</v>
      </c>
      <c r="D10" s="411">
        <f>F!D26</f>
        <v>0</v>
      </c>
      <c r="E10" s="313"/>
      <c r="F10" s="313"/>
      <c r="G10" s="1216"/>
      <c r="H10" s="2266"/>
      <c r="I10" s="282"/>
    </row>
    <row r="11" spans="1:11" ht="27.75" customHeight="1" thickBot="1" x14ac:dyDescent="0.25">
      <c r="A11" s="1153" t="str">
        <f>F!A49</f>
        <v>F7</v>
      </c>
      <c r="B11" s="2246"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v>
      </c>
      <c r="H11" s="2271" t="s">
        <v>1487</v>
      </c>
      <c r="I11" s="283" t="s">
        <v>1488</v>
      </c>
    </row>
    <row r="12" spans="1:11" ht="25.5" x14ac:dyDescent="0.2">
      <c r="A12" s="1173"/>
      <c r="B12" s="2247"/>
      <c r="C12" s="700" t="str">
        <f>F!C50</f>
        <v>&lt;5% of the vegetated part of the AA or &lt;0.01 hectare (whichever is less). Mark "1" here and SKIP to F11 (Invasive Plant Cover).</v>
      </c>
      <c r="D12" s="399">
        <f>F!D50</f>
        <v>0</v>
      </c>
      <c r="E12" s="312">
        <v>0</v>
      </c>
      <c r="F12" s="312">
        <f>D12*E12</f>
        <v>0</v>
      </c>
      <c r="G12" s="1222"/>
      <c r="H12" s="2266"/>
      <c r="I12" s="64"/>
    </row>
    <row r="13" spans="1:11" x14ac:dyDescent="0.2">
      <c r="A13" s="1173"/>
      <c r="B13" s="2247"/>
      <c r="C13" s="700" t="str">
        <f>F!C51</f>
        <v>5-25% of the vegetated part of the AA.</v>
      </c>
      <c r="D13" s="399">
        <f>F!D51</f>
        <v>0</v>
      </c>
      <c r="E13" s="312">
        <v>1</v>
      </c>
      <c r="F13" s="312">
        <f t="shared" ref="F13:F16" si="0">D13*E13</f>
        <v>0</v>
      </c>
      <c r="G13" s="1213"/>
      <c r="H13" s="2266"/>
      <c r="I13" s="64"/>
    </row>
    <row r="14" spans="1:11" x14ac:dyDescent="0.2">
      <c r="A14" s="1173"/>
      <c r="B14" s="2247"/>
      <c r="C14" s="700" t="str">
        <f>F!C52</f>
        <v>25-50% of the vegetated part of the AA.</v>
      </c>
      <c r="D14" s="399">
        <f>F!D52</f>
        <v>0</v>
      </c>
      <c r="E14" s="312">
        <v>2</v>
      </c>
      <c r="F14" s="312">
        <f t="shared" si="0"/>
        <v>0</v>
      </c>
      <c r="G14" s="1213"/>
      <c r="H14" s="2266"/>
      <c r="I14" s="64"/>
    </row>
    <row r="15" spans="1:11" x14ac:dyDescent="0.2">
      <c r="A15" s="1173"/>
      <c r="B15" s="2247"/>
      <c r="C15" s="700" t="str">
        <f>F!C53</f>
        <v>50-95% of the vegetated part of the AA.</v>
      </c>
      <c r="D15" s="399">
        <f>F!D53</f>
        <v>0</v>
      </c>
      <c r="E15" s="312">
        <v>3</v>
      </c>
      <c r="F15" s="312">
        <f t="shared" si="0"/>
        <v>0</v>
      </c>
      <c r="G15" s="1213"/>
      <c r="H15" s="2266"/>
      <c r="I15" s="64"/>
    </row>
    <row r="16" spans="1:11" ht="13.5" thickBot="1" x14ac:dyDescent="0.25">
      <c r="A16" s="1174"/>
      <c r="B16" s="2248"/>
      <c r="C16" s="696" t="str">
        <f>F!C54</f>
        <v>&gt;95% of the vegetated part of the AA.</v>
      </c>
      <c r="D16" s="400">
        <f>F!D54</f>
        <v>0</v>
      </c>
      <c r="E16" s="315">
        <v>4</v>
      </c>
      <c r="F16" s="315">
        <f t="shared" si="0"/>
        <v>0</v>
      </c>
      <c r="G16" s="1214"/>
      <c r="H16" s="2267"/>
      <c r="I16" s="282"/>
    </row>
    <row r="17" spans="1:9" ht="39" customHeight="1" thickBot="1" x14ac:dyDescent="0.25">
      <c r="A17" s="1173" t="str">
        <f>F!A91</f>
        <v>F14</v>
      </c>
      <c r="B17" s="2247"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v>
      </c>
      <c r="H17" s="2266" t="s">
        <v>1489</v>
      </c>
      <c r="I17" s="283" t="s">
        <v>1490</v>
      </c>
    </row>
    <row r="18" spans="1:9" x14ac:dyDescent="0.2">
      <c r="A18" s="1173"/>
      <c r="B18" s="2247"/>
      <c r="C18" s="700" t="str">
        <f>F!C92</f>
        <v xml:space="preserve">&lt;5% of the vegetated part of the AA. </v>
      </c>
      <c r="D18" s="399">
        <f>F!D92</f>
        <v>0</v>
      </c>
      <c r="E18" s="312">
        <v>4</v>
      </c>
      <c r="F18" s="312">
        <f t="shared" ref="F18:F22" si="1">D18*E18</f>
        <v>0</v>
      </c>
      <c r="G18" s="1222"/>
      <c r="H18" s="2266"/>
      <c r="I18" s="64"/>
    </row>
    <row r="19" spans="1:9" x14ac:dyDescent="0.2">
      <c r="A19" s="1173"/>
      <c r="B19" s="2247"/>
      <c r="C19" s="700" t="str">
        <f>F!C93</f>
        <v>5-25% of the vegetated part of the AA.</v>
      </c>
      <c r="D19" s="399">
        <f>F!D93</f>
        <v>0</v>
      </c>
      <c r="E19" s="312">
        <v>3</v>
      </c>
      <c r="F19" s="312">
        <f t="shared" si="1"/>
        <v>0</v>
      </c>
      <c r="G19" s="1213"/>
      <c r="H19" s="2266"/>
      <c r="I19" s="64"/>
    </row>
    <row r="20" spans="1:9" x14ac:dyDescent="0.2">
      <c r="A20" s="1173"/>
      <c r="B20" s="2247"/>
      <c r="C20" s="700" t="str">
        <f>F!C94</f>
        <v>25-50% of the vegetated part of the AA.</v>
      </c>
      <c r="D20" s="399">
        <f>F!D94</f>
        <v>0</v>
      </c>
      <c r="E20" s="312">
        <v>2</v>
      </c>
      <c r="F20" s="312">
        <f t="shared" si="1"/>
        <v>0</v>
      </c>
      <c r="G20" s="1213"/>
      <c r="H20" s="2266"/>
      <c r="I20" s="64"/>
    </row>
    <row r="21" spans="1:9" x14ac:dyDescent="0.2">
      <c r="A21" s="1173"/>
      <c r="B21" s="2247"/>
      <c r="C21" s="700" t="str">
        <f>F!C95</f>
        <v>50-95% of the vegetated part of the AA.</v>
      </c>
      <c r="D21" s="399">
        <f>F!D95</f>
        <v>0</v>
      </c>
      <c r="E21" s="312">
        <v>1</v>
      </c>
      <c r="F21" s="312">
        <f t="shared" si="1"/>
        <v>0</v>
      </c>
      <c r="G21" s="1213"/>
      <c r="H21" s="2266"/>
      <c r="I21" s="64"/>
    </row>
    <row r="22" spans="1:9" ht="13.5" thickBot="1" x14ac:dyDescent="0.25">
      <c r="A22" s="1174"/>
      <c r="B22" s="2248"/>
      <c r="C22" s="696" t="str">
        <f>F!C96</f>
        <v>&gt;95% of the vegetated part of the AA.</v>
      </c>
      <c r="D22" s="411">
        <f>F!D96</f>
        <v>0</v>
      </c>
      <c r="E22" s="313">
        <v>0</v>
      </c>
      <c r="F22" s="313">
        <f t="shared" si="1"/>
        <v>0</v>
      </c>
      <c r="G22" s="1216"/>
      <c r="H22" s="2267"/>
      <c r="I22" s="282"/>
    </row>
    <row r="23" spans="1:9" ht="35.25" customHeight="1" thickBot="1" x14ac:dyDescent="0.25">
      <c r="A23" s="1153" t="str">
        <f>F!A107</f>
        <v>F17</v>
      </c>
      <c r="B23" s="2246"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v>
      </c>
      <c r="H23" s="2271" t="s">
        <v>1491</v>
      </c>
      <c r="I23" s="64" t="s">
        <v>1492</v>
      </c>
    </row>
    <row r="24" spans="1:9" ht="38.25" x14ac:dyDescent="0.2">
      <c r="A24" s="1173"/>
      <c r="B24" s="2247"/>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266"/>
      <c r="I24" s="64"/>
    </row>
    <row r="25" spans="1:9" ht="25.5" x14ac:dyDescent="0.2">
      <c r="A25" s="1173"/>
      <c r="B25" s="2247"/>
      <c r="C25" s="700" t="str">
        <f>F!C109</f>
        <v>Slightly bare ground (5-20% bare between plants) is visible in places, and those areas comprise less than 5% of the unflooded parts of the AA.</v>
      </c>
      <c r="D25" s="399">
        <f>F!D109</f>
        <v>0</v>
      </c>
      <c r="E25" s="312">
        <v>0</v>
      </c>
      <c r="F25" s="312">
        <f t="shared" si="2"/>
        <v>0</v>
      </c>
      <c r="G25" s="1213"/>
      <c r="H25" s="2266"/>
      <c r="I25" s="64"/>
    </row>
    <row r="26" spans="1:9" ht="25.5" x14ac:dyDescent="0.2">
      <c r="A26" s="1173"/>
      <c r="B26" s="2247"/>
      <c r="C26" s="700" t="str">
        <f>F!C110</f>
        <v xml:space="preserve">Slightly bare ground (5-20% bare between plants) comprises more than 5% of the unflooded parts of the AA, </v>
      </c>
      <c r="D26" s="399">
        <f>F!D110</f>
        <v>0</v>
      </c>
      <c r="E26" s="312">
        <v>1</v>
      </c>
      <c r="F26" s="312">
        <f t="shared" si="2"/>
        <v>0</v>
      </c>
      <c r="G26" s="1213"/>
      <c r="H26" s="2266"/>
      <c r="I26" s="64"/>
    </row>
    <row r="27" spans="1:9" ht="25.5" x14ac:dyDescent="0.2">
      <c r="A27" s="1173"/>
      <c r="B27" s="2247"/>
      <c r="C27" s="700" t="str">
        <f>F!C111</f>
        <v>Very bare ground (20-50% bare between plants) comprises more than 5% of the unflooded parts of the AA. </v>
      </c>
      <c r="D27" s="399">
        <f>F!D111</f>
        <v>0</v>
      </c>
      <c r="E27" s="312">
        <v>2</v>
      </c>
      <c r="F27" s="312">
        <f t="shared" si="2"/>
        <v>0</v>
      </c>
      <c r="G27" s="1213"/>
      <c r="H27" s="2266"/>
      <c r="I27" s="64"/>
    </row>
    <row r="28" spans="1:9" ht="13.5" thickBot="1" x14ac:dyDescent="0.25">
      <c r="A28" s="1174"/>
      <c r="B28" s="2248"/>
      <c r="C28" s="696" t="str">
        <f>F!C112</f>
        <v>Not applicable. Surface water (either open or obscured by emergent plants) covers all of the AA all the time.</v>
      </c>
      <c r="D28" s="400">
        <f>F!D112</f>
        <v>0</v>
      </c>
      <c r="E28" s="315">
        <v>3</v>
      </c>
      <c r="F28" s="315">
        <f t="shared" si="2"/>
        <v>0</v>
      </c>
      <c r="G28" s="1216"/>
      <c r="H28" s="2267"/>
      <c r="I28" s="64"/>
    </row>
    <row r="29" spans="1:9" ht="13.5" thickBot="1" x14ac:dyDescent="0.25">
      <c r="A29" s="1153" t="str">
        <f>F!A128</f>
        <v>F21</v>
      </c>
      <c r="B29" s="2246"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271" t="s">
        <v>1493</v>
      </c>
      <c r="I29" s="283" t="s">
        <v>9131</v>
      </c>
    </row>
    <row r="30" spans="1:9" ht="25.5" x14ac:dyDescent="0.2">
      <c r="A30" s="1173"/>
      <c r="B30" s="2247"/>
      <c r="C30" s="700"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22"/>
      <c r="H30" s="2266"/>
      <c r="I30" s="64"/>
    </row>
    <row r="31" spans="1:9" ht="25.5" x14ac:dyDescent="0.2">
      <c r="A31" s="1173"/>
      <c r="B31" s="2247"/>
      <c r="C31" s="700" t="str">
        <f>F!C130</f>
        <v>Fines: includes silt, clay, silt, soils that make a ribbon longer than 2 cm when moistened, rolled, squeezed, and extended between thumb and forefinger.</v>
      </c>
      <c r="D31" s="399">
        <f>F!D130</f>
        <v>0</v>
      </c>
      <c r="E31" s="312">
        <v>1</v>
      </c>
      <c r="F31" s="312">
        <f t="shared" si="3"/>
        <v>0</v>
      </c>
      <c r="G31" s="1213"/>
      <c r="H31" s="2266"/>
      <c r="I31" s="64"/>
    </row>
    <row r="32" spans="1:9" x14ac:dyDescent="0.2">
      <c r="A32" s="1173"/>
      <c r="B32" s="2247"/>
      <c r="C32" s="700" t="str">
        <f>F!C131</f>
        <v>Deep Peat, to 40 cm (16 inch) depth or greater.</v>
      </c>
      <c r="D32" s="399">
        <f>F!D131</f>
        <v>0</v>
      </c>
      <c r="E32" s="312">
        <v>0</v>
      </c>
      <c r="F32" s="312">
        <f t="shared" si="3"/>
        <v>0</v>
      </c>
      <c r="G32" s="1213"/>
      <c r="H32" s="2266"/>
      <c r="I32" s="64"/>
    </row>
    <row r="33" spans="1:9" x14ac:dyDescent="0.2">
      <c r="A33" s="1173"/>
      <c r="B33" s="2247"/>
      <c r="C33" s="700" t="str">
        <f>F!C132</f>
        <v xml:space="preserve">Shallow Peat or organic &lt;40 cm deep. </v>
      </c>
      <c r="D33" s="399">
        <f>F!D132</f>
        <v>0</v>
      </c>
      <c r="E33" s="312">
        <v>0</v>
      </c>
      <c r="F33" s="312">
        <f t="shared" si="3"/>
        <v>0</v>
      </c>
      <c r="G33" s="1213"/>
      <c r="H33" s="2266"/>
      <c r="I33" s="64"/>
    </row>
    <row r="34" spans="1:9" ht="26.25" thickBot="1" x14ac:dyDescent="0.25">
      <c r="A34" s="1174"/>
      <c r="B34" s="2248"/>
      <c r="C34" s="696" t="str">
        <f>F!C133</f>
        <v>Coarse: includes sand, loamy sand, gravel, cobble, soils that do not make a ribbon when moistened, rolled, squeezed, and extended between thumb and forefinger.</v>
      </c>
      <c r="D34" s="400">
        <f>F!D133</f>
        <v>0</v>
      </c>
      <c r="E34" s="315">
        <v>1</v>
      </c>
      <c r="F34" s="315">
        <f t="shared" si="3"/>
        <v>0</v>
      </c>
      <c r="G34" s="1214"/>
      <c r="H34" s="2267"/>
      <c r="I34" s="282"/>
    </row>
    <row r="35" spans="1:9" ht="46.5" customHeight="1" thickBot="1" x14ac:dyDescent="0.25">
      <c r="A35" s="1153" t="str">
        <f>F!A142</f>
        <v>F23</v>
      </c>
      <c r="B35" s="2246"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v>
      </c>
      <c r="H35" s="2271" t="s">
        <v>8906</v>
      </c>
      <c r="I35" s="283" t="s">
        <v>1494</v>
      </c>
    </row>
    <row r="36" spans="1:9" x14ac:dyDescent="0.2">
      <c r="A36" s="1173"/>
      <c r="B36" s="2247"/>
      <c r="C36" s="700" t="str">
        <f>F!C143</f>
        <v>None or trace.</v>
      </c>
      <c r="D36" s="399">
        <f>F!D143</f>
        <v>0</v>
      </c>
      <c r="E36" s="312">
        <v>0</v>
      </c>
      <c r="F36" s="312">
        <f t="shared" ref="F36:F40" si="4">D36*E36</f>
        <v>0</v>
      </c>
      <c r="G36" s="1222"/>
      <c r="H36" s="2266"/>
      <c r="I36" s="64"/>
    </row>
    <row r="37" spans="1:9" x14ac:dyDescent="0.2">
      <c r="A37" s="1173"/>
      <c r="B37" s="2247"/>
      <c r="C37" s="700" t="str">
        <f>F!C144</f>
        <v>1-20% of the AA.</v>
      </c>
      <c r="D37" s="399">
        <f>F!D144</f>
        <v>0</v>
      </c>
      <c r="E37" s="312">
        <v>1</v>
      </c>
      <c r="F37" s="312">
        <f t="shared" si="4"/>
        <v>0</v>
      </c>
      <c r="G37" s="1213"/>
      <c r="H37" s="2266"/>
      <c r="I37" s="64"/>
    </row>
    <row r="38" spans="1:9" x14ac:dyDescent="0.2">
      <c r="A38" s="1173"/>
      <c r="B38" s="2247"/>
      <c r="C38" s="700" t="str">
        <f>F!C145</f>
        <v>20-50% of the AA.</v>
      </c>
      <c r="D38" s="399">
        <f>F!D145</f>
        <v>0</v>
      </c>
      <c r="E38" s="312">
        <v>2</v>
      </c>
      <c r="F38" s="312">
        <f t="shared" si="4"/>
        <v>0</v>
      </c>
      <c r="G38" s="1213"/>
      <c r="H38" s="2266"/>
      <c r="I38" s="64"/>
    </row>
    <row r="39" spans="1:9" x14ac:dyDescent="0.2">
      <c r="A39" s="1173"/>
      <c r="B39" s="2247"/>
      <c r="C39" s="700" t="str">
        <f>F!C146</f>
        <v>50-95% of the AA.</v>
      </c>
      <c r="D39" s="399">
        <f>F!D146</f>
        <v>0</v>
      </c>
      <c r="E39" s="312">
        <v>3</v>
      </c>
      <c r="F39" s="312">
        <f t="shared" si="4"/>
        <v>0</v>
      </c>
      <c r="G39" s="1213"/>
      <c r="H39" s="2266"/>
      <c r="I39" s="64"/>
    </row>
    <row r="40" spans="1:9" ht="13.5" thickBot="1" x14ac:dyDescent="0.25">
      <c r="A40" s="1174"/>
      <c r="B40" s="2248"/>
      <c r="C40" s="696" t="str">
        <f>F!C147</f>
        <v>&gt;95% of the AA. True for many fringe wetlands.</v>
      </c>
      <c r="D40" s="400">
        <f>F!D147</f>
        <v>0</v>
      </c>
      <c r="E40" s="315">
        <v>4</v>
      </c>
      <c r="F40" s="315">
        <f t="shared" si="4"/>
        <v>0</v>
      </c>
      <c r="G40" s="1214"/>
      <c r="H40" s="2267"/>
      <c r="I40" s="282"/>
    </row>
    <row r="41" spans="1:9" ht="26.25" thickBot="1" x14ac:dyDescent="0.25">
      <c r="A41" s="1173" t="str">
        <f>F!A149</f>
        <v>F24</v>
      </c>
      <c r="B41" s="2247"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271" t="s">
        <v>1148</v>
      </c>
      <c r="I41" s="64" t="s">
        <v>1495</v>
      </c>
    </row>
    <row r="42" spans="1:9" x14ac:dyDescent="0.2">
      <c r="A42" s="1201"/>
      <c r="B42" s="2247"/>
      <c r="C42" s="700" t="str">
        <f>F!C150</f>
        <v xml:space="preserve">&lt;1% . In other words, all or nearly all of the AA is covered by water permanently or at least seasonally.  </v>
      </c>
      <c r="D42" s="399">
        <f>F!D150</f>
        <v>0</v>
      </c>
      <c r="E42" s="312">
        <v>5</v>
      </c>
      <c r="F42" s="312">
        <f t="shared" ref="F42:F47" si="5">D42*E42</f>
        <v>0</v>
      </c>
      <c r="G42" s="1222"/>
      <c r="H42" s="2266"/>
      <c r="I42" s="64"/>
    </row>
    <row r="43" spans="1:9" x14ac:dyDescent="0.2">
      <c r="A43" s="1201"/>
      <c r="B43" s="2247"/>
      <c r="C43" s="700" t="str">
        <f>F!C151</f>
        <v>1-25% of the AA,  or &lt;1% but &gt;0.01 ha never contains surface water.</v>
      </c>
      <c r="D43" s="399">
        <f>F!D151</f>
        <v>0</v>
      </c>
      <c r="E43" s="312">
        <v>4</v>
      </c>
      <c r="F43" s="312">
        <f t="shared" si="5"/>
        <v>0</v>
      </c>
      <c r="G43" s="1213"/>
      <c r="H43" s="2266"/>
      <c r="I43" s="64"/>
    </row>
    <row r="44" spans="1:9" x14ac:dyDescent="0.2">
      <c r="A44" s="1201"/>
      <c r="B44" s="2247"/>
      <c r="C44" s="700" t="str">
        <f>F!C152</f>
        <v>25-50% of the AA never contains surface water.</v>
      </c>
      <c r="D44" s="399">
        <f>F!D152</f>
        <v>0</v>
      </c>
      <c r="E44" s="312">
        <v>3</v>
      </c>
      <c r="F44" s="312">
        <f t="shared" si="5"/>
        <v>0</v>
      </c>
      <c r="G44" s="1213"/>
      <c r="H44" s="2266"/>
      <c r="I44" s="64"/>
    </row>
    <row r="45" spans="1:9" x14ac:dyDescent="0.2">
      <c r="A45" s="1201"/>
      <c r="B45" s="2247"/>
      <c r="C45" s="700" t="str">
        <f>F!C153</f>
        <v>50-75% of the AA never contains surface water.</v>
      </c>
      <c r="D45" s="399">
        <f>F!D153</f>
        <v>0</v>
      </c>
      <c r="E45" s="312">
        <v>2</v>
      </c>
      <c r="F45" s="312">
        <f t="shared" si="5"/>
        <v>0</v>
      </c>
      <c r="G45" s="1213"/>
      <c r="H45" s="2266"/>
      <c r="I45" s="64"/>
    </row>
    <row r="46" spans="1:9" ht="25.5" x14ac:dyDescent="0.2">
      <c r="A46" s="1201"/>
      <c r="B46" s="2247"/>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266"/>
      <c r="I46" s="64"/>
    </row>
    <row r="47" spans="1:9" ht="26.25" thickBot="1" x14ac:dyDescent="0.25">
      <c r="A47" s="1201"/>
      <c r="B47" s="2247"/>
      <c r="C47" s="698" t="str">
        <f>F!C155</f>
        <v>&gt; 99%. AND during most years there is never more than 0.1 ha of ponded surface water within the AA. Enter "1" and SKIP to F43 (Channel Connection).</v>
      </c>
      <c r="D47" s="411">
        <f>F!D155</f>
        <v>0</v>
      </c>
      <c r="E47" s="313">
        <v>0</v>
      </c>
      <c r="F47" s="313">
        <f t="shared" si="5"/>
        <v>0</v>
      </c>
      <c r="G47" s="1216"/>
      <c r="H47" s="2266"/>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247"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t="str">
        <f>IF((SUM(D51:D56)=0),"",MAX(F51:F55)/MAX(E51:E55))</f>
        <v/>
      </c>
      <c r="H50" s="2266" t="s">
        <v>8635</v>
      </c>
      <c r="I50" s="64" t="s">
        <v>1498</v>
      </c>
    </row>
    <row r="51" spans="1:9" ht="25.5" x14ac:dyDescent="0.2">
      <c r="A51" s="1173"/>
      <c r="B51" s="2247"/>
      <c r="C51" s="700" t="str">
        <f>F!C196</f>
        <v>None, or &lt;1% of the AA and largest pool occupies &lt;0.01 hectares. Enter "1" and SKIP to F38 (Floating Algae &amp; Duckweed).</v>
      </c>
      <c r="D51" s="399">
        <f>F!D196</f>
        <v>0</v>
      </c>
      <c r="E51" s="312">
        <v>0</v>
      </c>
      <c r="F51" s="312">
        <f t="shared" ref="F51:F56" si="6">D51*E51</f>
        <v>0</v>
      </c>
      <c r="G51" s="1074"/>
      <c r="H51" s="2266"/>
      <c r="I51" s="64"/>
    </row>
    <row r="52" spans="1:9" x14ac:dyDescent="0.2">
      <c r="A52" s="1173"/>
      <c r="B52" s="2247"/>
      <c r="C52" s="700" t="str">
        <f>F!C197</f>
        <v>1-4% of the ponded water. Enter "1" and SKIP to F38 (Floating Algae &amp; Duckweed).</v>
      </c>
      <c r="D52" s="399">
        <f>F!D197</f>
        <v>0</v>
      </c>
      <c r="E52" s="312">
        <v>1</v>
      </c>
      <c r="F52" s="312">
        <f t="shared" si="6"/>
        <v>0</v>
      </c>
      <c r="G52" s="1073"/>
      <c r="H52" s="2266"/>
      <c r="I52" s="64"/>
    </row>
    <row r="53" spans="1:9" x14ac:dyDescent="0.2">
      <c r="A53" s="1173"/>
      <c r="B53" s="2247"/>
      <c r="C53" s="700" t="str">
        <f>F!C198</f>
        <v>5-30% of the ponded water.</v>
      </c>
      <c r="D53" s="399">
        <f>F!D198</f>
        <v>0</v>
      </c>
      <c r="E53" s="312">
        <v>2</v>
      </c>
      <c r="F53" s="312">
        <f t="shared" si="6"/>
        <v>0</v>
      </c>
      <c r="G53" s="1073"/>
      <c r="H53" s="2266"/>
      <c r="I53" s="64"/>
    </row>
    <row r="54" spans="1:9" x14ac:dyDescent="0.2">
      <c r="A54" s="1173"/>
      <c r="B54" s="2247"/>
      <c r="C54" s="700" t="str">
        <f>F!C199</f>
        <v>30-70% of the ponded water.</v>
      </c>
      <c r="D54" s="399">
        <f>F!D199</f>
        <v>0</v>
      </c>
      <c r="E54" s="312">
        <v>3</v>
      </c>
      <c r="F54" s="312">
        <f t="shared" si="6"/>
        <v>0</v>
      </c>
      <c r="G54" s="1073"/>
      <c r="H54" s="2266"/>
      <c r="I54" s="64"/>
    </row>
    <row r="55" spans="1:9" x14ac:dyDescent="0.2">
      <c r="A55" s="1173"/>
      <c r="B55" s="2247"/>
      <c r="C55" s="700" t="str">
        <f>F!C200</f>
        <v>70-99% of the ponded water.</v>
      </c>
      <c r="D55" s="399">
        <f>F!D200</f>
        <v>0</v>
      </c>
      <c r="E55" s="312">
        <v>4</v>
      </c>
      <c r="F55" s="312">
        <f t="shared" si="6"/>
        <v>0</v>
      </c>
      <c r="G55" s="1073"/>
      <c r="H55" s="2266"/>
      <c r="I55" s="64"/>
    </row>
    <row r="56" spans="1:9" ht="13.5" thickBot="1" x14ac:dyDescent="0.25">
      <c r="A56" s="1173"/>
      <c r="B56" s="2247"/>
      <c r="C56" s="698" t="str">
        <f>F!C201</f>
        <v xml:space="preserve">100% of the ponded water. </v>
      </c>
      <c r="D56" s="411">
        <f>F!D201</f>
        <v>0</v>
      </c>
      <c r="E56" s="313">
        <v>5</v>
      </c>
      <c r="F56" s="313">
        <f t="shared" si="6"/>
        <v>0</v>
      </c>
      <c r="G56" s="1218"/>
      <c r="H56" s="2266"/>
      <c r="I56" s="282"/>
    </row>
    <row r="57" spans="1:9" ht="18" customHeight="1" thickBot="1" x14ac:dyDescent="0.25">
      <c r="A57" s="1153" t="str">
        <f>F!A294</f>
        <v>F55</v>
      </c>
      <c r="B57" s="2426" t="str">
        <f>F!B294</f>
        <v>Fire History [WFR, CSP, PH, STR]</v>
      </c>
      <c r="C57" s="699" t="str">
        <f>F!C294</f>
        <v>More than 1% of the AA's previously vegetated area:</v>
      </c>
      <c r="D57" s="755"/>
      <c r="E57" s="271"/>
      <c r="F57" s="1219"/>
      <c r="G57" s="1076">
        <f>MAX(F58:F62)/MAX(E58:E62)</f>
        <v>0</v>
      </c>
      <c r="H57" s="2271" t="s">
        <v>1499</v>
      </c>
      <c r="I57" s="64" t="s">
        <v>1500</v>
      </c>
    </row>
    <row r="58" spans="1:9" x14ac:dyDescent="0.2">
      <c r="A58" s="1173"/>
      <c r="B58" s="2427"/>
      <c r="C58" s="700" t="str">
        <f>F!C295</f>
        <v>Burned within past 5 years.</v>
      </c>
      <c r="D58" s="399">
        <f>F!D295</f>
        <v>0</v>
      </c>
      <c r="E58" s="312">
        <v>4</v>
      </c>
      <c r="F58" s="312">
        <f t="shared" ref="F58:F61" si="7">D58*E58</f>
        <v>0</v>
      </c>
      <c r="G58" s="1222"/>
      <c r="H58" s="2266"/>
      <c r="I58" s="64"/>
    </row>
    <row r="59" spans="1:9" x14ac:dyDescent="0.2">
      <c r="A59" s="1173"/>
      <c r="B59" s="2427"/>
      <c r="C59" s="700" t="str">
        <f>F!C296</f>
        <v>Burned 6-10 years ago.</v>
      </c>
      <c r="D59" s="399">
        <f>F!D296</f>
        <v>0</v>
      </c>
      <c r="E59" s="312">
        <v>2</v>
      </c>
      <c r="F59" s="312">
        <f t="shared" si="7"/>
        <v>0</v>
      </c>
      <c r="G59" s="1213"/>
      <c r="H59" s="2266"/>
      <c r="I59" s="64"/>
    </row>
    <row r="60" spans="1:9" x14ac:dyDescent="0.2">
      <c r="A60" s="1173"/>
      <c r="B60" s="2427"/>
      <c r="C60" s="700" t="str">
        <f>F!C297</f>
        <v>Burned 11-30 years ago.</v>
      </c>
      <c r="D60" s="399">
        <f>F!D297</f>
        <v>0</v>
      </c>
      <c r="E60" s="312">
        <v>1</v>
      </c>
      <c r="F60" s="312">
        <f t="shared" si="7"/>
        <v>0</v>
      </c>
      <c r="G60" s="1213"/>
      <c r="H60" s="2266"/>
      <c r="I60" s="64"/>
    </row>
    <row r="61" spans="1:9" ht="13.5" thickBot="1" x14ac:dyDescent="0.25">
      <c r="A61" s="1174"/>
      <c r="B61" s="2428"/>
      <c r="C61" s="696" t="str">
        <f>F!C298</f>
        <v>Burned &gt;30 years ago, or no evidence of a burn and no data.</v>
      </c>
      <c r="D61" s="400">
        <f>F!D298</f>
        <v>0</v>
      </c>
      <c r="E61" s="315">
        <v>0</v>
      </c>
      <c r="F61" s="315">
        <f t="shared" si="7"/>
        <v>0</v>
      </c>
      <c r="G61" s="1214"/>
      <c r="H61" s="2267"/>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29" t="str">
        <f>OF!A53</f>
        <v>OF9</v>
      </c>
      <c r="B63" s="2246"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v>
      </c>
      <c r="H63" s="2271" t="s">
        <v>1501</v>
      </c>
      <c r="I63" s="416" t="s">
        <v>1502</v>
      </c>
    </row>
    <row r="64" spans="1:9" ht="16.5" x14ac:dyDescent="0.2">
      <c r="A64" s="2330"/>
      <c r="B64" s="2247"/>
      <c r="C64" s="700" t="str">
        <f>OF!C54</f>
        <v>&lt;100 m.</v>
      </c>
      <c r="D64" s="1753">
        <f>OF!D54</f>
        <v>0</v>
      </c>
      <c r="E64" s="421">
        <v>5</v>
      </c>
      <c r="F64" s="1223">
        <f t="shared" ref="F64:F68" si="8">D64*E64</f>
        <v>0</v>
      </c>
      <c r="G64" s="1756"/>
      <c r="H64" s="2266"/>
      <c r="I64" s="638"/>
    </row>
    <row r="65" spans="1:10" ht="16.5" x14ac:dyDescent="0.2">
      <c r="A65" s="2330"/>
      <c r="B65" s="2247"/>
      <c r="C65" s="700" t="str">
        <f>OF!C55</f>
        <v>100 - 500 m.</v>
      </c>
      <c r="D65" s="1753">
        <f>OF!D55</f>
        <v>0</v>
      </c>
      <c r="E65" s="421">
        <v>4</v>
      </c>
      <c r="F65" s="1223">
        <f t="shared" si="8"/>
        <v>0</v>
      </c>
      <c r="G65" s="1213"/>
      <c r="H65" s="2266"/>
      <c r="I65" s="638"/>
    </row>
    <row r="66" spans="1:10" ht="16.5" x14ac:dyDescent="0.2">
      <c r="A66" s="2330"/>
      <c r="B66" s="2247"/>
      <c r="C66" s="700" t="str">
        <f>OF!C56</f>
        <v>0.5- 1 km.</v>
      </c>
      <c r="D66" s="1753">
        <f>OF!D56</f>
        <v>0</v>
      </c>
      <c r="E66" s="421">
        <v>3</v>
      </c>
      <c r="F66" s="1223">
        <f t="shared" si="8"/>
        <v>0</v>
      </c>
      <c r="G66" s="1213"/>
      <c r="H66" s="2266"/>
      <c r="I66" s="638"/>
    </row>
    <row r="67" spans="1:10" ht="16.5" x14ac:dyDescent="0.2">
      <c r="A67" s="2330"/>
      <c r="B67" s="2247"/>
      <c r="C67" s="700" t="str">
        <f>OF!C57</f>
        <v>1 - 5 km.</v>
      </c>
      <c r="D67" s="1753">
        <f>OF!D57</f>
        <v>0</v>
      </c>
      <c r="E67" s="421">
        <v>2</v>
      </c>
      <c r="F67" s="1223">
        <f t="shared" si="8"/>
        <v>0</v>
      </c>
      <c r="G67" s="1213"/>
      <c r="H67" s="2266"/>
      <c r="I67" s="638"/>
    </row>
    <row r="68" spans="1:10" ht="17.25" thickBot="1" x14ac:dyDescent="0.25">
      <c r="A68" s="2331"/>
      <c r="B68" s="2248"/>
      <c r="C68" s="696" t="str">
        <f>OF!C58</f>
        <v>&gt;5 km.</v>
      </c>
      <c r="D68" s="1754">
        <f>OF!D58</f>
        <v>0</v>
      </c>
      <c r="E68" s="639">
        <v>0</v>
      </c>
      <c r="F68" s="1755">
        <f t="shared" si="8"/>
        <v>0</v>
      </c>
      <c r="G68" s="1214"/>
      <c r="H68" s="2267"/>
      <c r="I68" s="1079"/>
    </row>
    <row r="69" spans="1:10" ht="13.5" thickBot="1" x14ac:dyDescent="0.25">
      <c r="A69" s="2"/>
      <c r="B69" s="2"/>
      <c r="C69" s="2"/>
      <c r="D69" s="285"/>
      <c r="E69" s="2"/>
      <c r="F69" s="2"/>
      <c r="G69" s="595"/>
      <c r="H69" s="2"/>
      <c r="I69" s="2"/>
    </row>
    <row r="70" spans="1:10" ht="70.5" customHeight="1" thickBot="1" x14ac:dyDescent="0.25">
      <c r="A70" s="2"/>
      <c r="B70" s="305"/>
      <c r="C70" s="2290" t="s">
        <v>1503</v>
      </c>
      <c r="D70" s="2291"/>
      <c r="E70" s="2292"/>
      <c r="F70" s="1072" t="s">
        <v>988</v>
      </c>
      <c r="G70" s="1227">
        <f>10*(3*AVERAGE(Persis1,NeverWet1, OpenPct1,Lake1,Fringe1) + AVERAGE(WoodyCover,HerbCov1,MossCov1,SoilTex1a,Bare1, FireHist1))/4</f>
        <v>0.41666666666666663</v>
      </c>
      <c r="H70" s="2424" t="s">
        <v>1504</v>
      </c>
      <c r="I70" s="2425"/>
      <c r="J70" s="283" t="s">
        <v>1505</v>
      </c>
    </row>
    <row r="71" spans="1:10" ht="26.25" thickBot="1" x14ac:dyDescent="0.25">
      <c r="A71" s="2"/>
      <c r="B71" s="305"/>
      <c r="C71" s="2290" t="s">
        <v>1506</v>
      </c>
      <c r="D71" s="2291"/>
      <c r="E71" s="2292"/>
      <c r="F71" s="1072" t="s">
        <v>991</v>
      </c>
      <c r="G71" s="1078">
        <f>10*DisTown1v</f>
        <v>0</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A1:B1"/>
    <mergeCell ref="H63:H68"/>
    <mergeCell ref="B29:B34"/>
    <mergeCell ref="H29:H34"/>
    <mergeCell ref="H35:H40"/>
    <mergeCell ref="H41:H47"/>
    <mergeCell ref="B41:B47"/>
    <mergeCell ref="H57:H61"/>
    <mergeCell ref="H50:H56"/>
    <mergeCell ref="B57:B61"/>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47" t="s">
        <v>8361</v>
      </c>
      <c r="B1" s="2448"/>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41" t="str">
        <f>OF!A135</f>
        <v>OF25</v>
      </c>
      <c r="B3" s="2444" t="str">
        <f>OF!B135</f>
        <v>Aspect [WS, SFTSb, NR, CS, CC, APP]</v>
      </c>
      <c r="C3" s="1911" t="str">
        <f>OF!C135</f>
        <v>The overland flow direction of most surface water (in streams, rivers, or runoff) that enters the AA is:</v>
      </c>
      <c r="D3" s="1313"/>
      <c r="E3" s="927"/>
      <c r="F3" s="928"/>
      <c r="G3" s="1904">
        <f>MAX(F4:F6)/MAX(E4:E6)</f>
        <v>0</v>
      </c>
      <c r="H3" s="2432" t="s">
        <v>8862</v>
      </c>
      <c r="I3" s="2429" t="s">
        <v>1606</v>
      </c>
    </row>
    <row r="4" spans="1:10" x14ac:dyDescent="0.2">
      <c r="A4" s="2442"/>
      <c r="B4" s="2445"/>
      <c r="C4" s="1233" t="str">
        <f>OF!C136</f>
        <v>Northward (N, NE). north-facing contributing area.</v>
      </c>
      <c r="D4" s="844">
        <f>OF!D136</f>
        <v>0</v>
      </c>
      <c r="E4" s="619">
        <v>3</v>
      </c>
      <c r="F4" s="619">
        <f>D4*E4</f>
        <v>0</v>
      </c>
      <c r="G4" s="968"/>
      <c r="H4" s="2432"/>
      <c r="I4" s="2430"/>
    </row>
    <row r="5" spans="1:10" x14ac:dyDescent="0.2">
      <c r="A5" s="2442"/>
      <c r="B5" s="2445"/>
      <c r="C5" s="1233" t="str">
        <f>OF!C137</f>
        <v>Southward (S, SW). south-facing contributing area.</v>
      </c>
      <c r="D5" s="844">
        <f>OF!D137</f>
        <v>0</v>
      </c>
      <c r="E5" s="619">
        <v>0</v>
      </c>
      <c r="F5" s="619">
        <f t="shared" ref="F5:F6" si="0">D5*E5</f>
        <v>0</v>
      </c>
      <c r="G5" s="963"/>
      <c r="H5" s="2432"/>
      <c r="I5" s="2430"/>
    </row>
    <row r="6" spans="1:10" ht="13.5" thickBot="1" x14ac:dyDescent="0.25">
      <c r="A6" s="2443"/>
      <c r="B6" s="2446"/>
      <c r="C6" s="1234" t="str">
        <f>OF!C138</f>
        <v>Other (E, SE, W, NW), or no detectable uphill slope or input channel (flat).</v>
      </c>
      <c r="D6" s="1244">
        <f>OF!D138</f>
        <v>0</v>
      </c>
      <c r="E6" s="621">
        <v>2</v>
      </c>
      <c r="F6" s="619">
        <f t="shared" si="0"/>
        <v>0</v>
      </c>
      <c r="G6" s="966"/>
      <c r="H6" s="2432"/>
      <c r="I6" s="2430"/>
    </row>
    <row r="7" spans="1:10" ht="26.25" thickBot="1" x14ac:dyDescent="0.25">
      <c r="A7" s="934" t="str">
        <f>F!A5</f>
        <v>F1</v>
      </c>
      <c r="B7" s="2434" t="str">
        <f>F!B5</f>
        <v>Vegetation, Water, Soil [SFTS, NR, CSP, CC, APP, FA, FR, AM, WBF, WBN, KMH, Sens]</v>
      </c>
      <c r="C7" s="1230" t="str">
        <f>F!C5</f>
        <v>Follow the key below and mark the ONE row that best describes MOST of the vegetated part of the AA:</v>
      </c>
      <c r="D7" s="965"/>
      <c r="E7" s="510"/>
      <c r="F7" s="936"/>
      <c r="G7" s="960">
        <f>MAX(F9:F13)/MAX(E9:E13)</f>
        <v>0</v>
      </c>
      <c r="H7" s="2431" t="s">
        <v>8723</v>
      </c>
      <c r="I7" s="521" t="s">
        <v>1516</v>
      </c>
    </row>
    <row r="8" spans="1:10" ht="76.5" x14ac:dyDescent="0.2">
      <c r="A8" s="935"/>
      <c r="B8" s="243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32"/>
      <c r="I8" s="507"/>
    </row>
    <row r="9" spans="1:10" ht="89.25" x14ac:dyDescent="0.2">
      <c r="A9" s="935"/>
      <c r="B9" s="243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432"/>
      <c r="I9" s="507"/>
    </row>
    <row r="10" spans="1:10" ht="63.75" x14ac:dyDescent="0.2">
      <c r="A10" s="935"/>
      <c r="B10" s="243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32"/>
      <c r="I10" s="507"/>
    </row>
    <row r="11" spans="1:10" ht="51" x14ac:dyDescent="0.2">
      <c r="A11" s="935"/>
      <c r="B11" s="243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32"/>
      <c r="I11" s="507"/>
    </row>
    <row r="12" spans="1:10" ht="38.25" x14ac:dyDescent="0.2">
      <c r="A12" s="935"/>
      <c r="B12" s="243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432"/>
      <c r="I12" s="507"/>
    </row>
    <row r="13" spans="1:10" ht="51.75" thickBot="1" x14ac:dyDescent="0.25">
      <c r="A13" s="935"/>
      <c r="B13" s="2436"/>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33"/>
      <c r="I13" s="519"/>
    </row>
    <row r="14" spans="1:10" ht="51.75" thickBot="1" x14ac:dyDescent="0.25">
      <c r="A14" s="2449" t="str">
        <f>F!A19</f>
        <v>F3</v>
      </c>
      <c r="B14" s="243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v>
      </c>
      <c r="H14" s="2431" t="s">
        <v>8733</v>
      </c>
      <c r="I14" s="2429" t="s">
        <v>1517</v>
      </c>
    </row>
    <row r="15" spans="1:10" ht="15" x14ac:dyDescent="0.2">
      <c r="A15" s="2450"/>
      <c r="B15" s="2435"/>
      <c r="C15" s="1233" t="str">
        <f>F!C20</f>
        <v>evergreen trees (may include tamarack) taller than 6 m.</v>
      </c>
      <c r="D15" s="828">
        <f>F!D20</f>
        <v>0</v>
      </c>
      <c r="E15" s="619">
        <v>6</v>
      </c>
      <c r="F15" s="619"/>
      <c r="G15" s="843"/>
      <c r="H15" s="2432"/>
      <c r="I15" s="2430"/>
      <c r="J15" s="2024"/>
    </row>
    <row r="16" spans="1:10" x14ac:dyDescent="0.2">
      <c r="A16" s="2450"/>
      <c r="B16" s="2435"/>
      <c r="C16" s="1233" t="str">
        <f>F!C21</f>
        <v>deciduous trees taller than 6 m.</v>
      </c>
      <c r="D16" s="828">
        <f>F!D21</f>
        <v>0</v>
      </c>
      <c r="E16" s="619">
        <v>5</v>
      </c>
      <c r="F16" s="619"/>
      <c r="G16" s="845"/>
      <c r="H16" s="2432"/>
      <c r="I16" s="2430"/>
    </row>
    <row r="17" spans="1:10" x14ac:dyDescent="0.2">
      <c r="A17" s="2450"/>
      <c r="B17" s="2435"/>
      <c r="C17" s="1233" t="str">
        <f>F!C22</f>
        <v>evergreen shrubs or trees 2 to 6 m tall not directly below the canopy of trees.</v>
      </c>
      <c r="D17" s="828">
        <f>F!D22</f>
        <v>0</v>
      </c>
      <c r="E17" s="619">
        <v>4</v>
      </c>
      <c r="F17" s="619"/>
      <c r="G17" s="845"/>
      <c r="H17" s="2432"/>
      <c r="I17" s="2430"/>
    </row>
    <row r="18" spans="1:10" x14ac:dyDescent="0.2">
      <c r="A18" s="2450"/>
      <c r="B18" s="2435"/>
      <c r="C18" s="1233" t="str">
        <f>F!C23</f>
        <v>deciduous shrubs or trees 2 to 6 m tall not directly below the canopy of trees.</v>
      </c>
      <c r="D18" s="828">
        <f>F!D23</f>
        <v>0</v>
      </c>
      <c r="E18" s="619">
        <v>3</v>
      </c>
      <c r="F18" s="619"/>
      <c r="G18" s="845"/>
      <c r="H18" s="2432"/>
      <c r="I18" s="2430"/>
    </row>
    <row r="19" spans="1:10" ht="18.75" customHeight="1" x14ac:dyDescent="0.2">
      <c r="A19" s="2450"/>
      <c r="B19" s="2435"/>
      <c r="C19" s="1233" t="str">
        <f>F!C24</f>
        <v>evergreen vegetation 0.5 to 2 m tall not directly below the canopy of taller vegetation.</v>
      </c>
      <c r="D19" s="828">
        <f>F!D24</f>
        <v>0</v>
      </c>
      <c r="E19" s="619">
        <v>2</v>
      </c>
      <c r="F19" s="619"/>
      <c r="G19" s="845"/>
      <c r="H19" s="2432"/>
      <c r="I19" s="2430"/>
    </row>
    <row r="20" spans="1:10" ht="25.5" x14ac:dyDescent="0.2">
      <c r="A20" s="2450"/>
      <c r="B20" s="2435"/>
      <c r="C20" s="1233" t="str">
        <f>F!C25</f>
        <v>deciduous vegetation 0.5 to 2 m tall (e.g., deciduous seedlings) not directly below the canopy of taller vegetation.</v>
      </c>
      <c r="D20" s="828">
        <f>F!D25</f>
        <v>0</v>
      </c>
      <c r="E20" s="619">
        <v>1</v>
      </c>
      <c r="F20" s="619"/>
      <c r="G20" s="845"/>
      <c r="H20" s="2432"/>
      <c r="I20" s="2430"/>
    </row>
    <row r="21" spans="1:10" ht="13.5" thickBot="1" x14ac:dyDescent="0.25">
      <c r="A21" s="2450"/>
      <c r="B21" s="2435"/>
      <c r="C21" s="1234" t="str">
        <f>F!C26</f>
        <v>Non-woody vegetation (except mosses) not under a tree or shrub canopy.</v>
      </c>
      <c r="D21" s="967">
        <f>F!D26</f>
        <v>0</v>
      </c>
      <c r="E21" s="621">
        <v>0</v>
      </c>
      <c r="F21" s="621"/>
      <c r="G21" s="848"/>
      <c r="H21" s="2432"/>
      <c r="I21" s="2437"/>
    </row>
    <row r="22" spans="1:10" ht="51.75" thickBot="1" x14ac:dyDescent="0.25">
      <c r="A22" s="1557" t="str">
        <f>F!A33</f>
        <v>F5</v>
      </c>
      <c r="B22" s="243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v>
      </c>
      <c r="H22" s="2431" t="s">
        <v>9076</v>
      </c>
      <c r="I22" s="521" t="s">
        <v>1518</v>
      </c>
    </row>
    <row r="23" spans="1:10" x14ac:dyDescent="0.2">
      <c r="A23" s="939"/>
      <c r="B23" s="2435"/>
      <c r="C23" s="1233" t="str">
        <f>F!C34</f>
        <v>coniferous, 1-9 cm diameter and &gt;1 m tall.</v>
      </c>
      <c r="D23" s="1242">
        <f>F!D34</f>
        <v>0</v>
      </c>
      <c r="E23" s="619">
        <v>0</v>
      </c>
      <c r="F23" s="619">
        <f t="shared" ref="F23:F30" si="1">D23*E23</f>
        <v>0</v>
      </c>
      <c r="G23" s="968"/>
      <c r="H23" s="2432"/>
      <c r="I23" s="507"/>
    </row>
    <row r="24" spans="1:10" ht="15" x14ac:dyDescent="0.2">
      <c r="A24" s="939"/>
      <c r="B24" s="2435"/>
      <c r="C24" s="1233" t="str">
        <f>F!C35</f>
        <v>broad-leaved deciduous 1-9 cm diameter and &gt;1 m tall.</v>
      </c>
      <c r="D24" s="1242">
        <f>F!D35</f>
        <v>0</v>
      </c>
      <c r="E24" s="619">
        <v>0</v>
      </c>
      <c r="F24" s="619">
        <f t="shared" si="1"/>
        <v>0</v>
      </c>
      <c r="G24" s="963"/>
      <c r="H24" s="2432"/>
      <c r="I24" s="507"/>
      <c r="J24" s="2023"/>
    </row>
    <row r="25" spans="1:10" x14ac:dyDescent="0.2">
      <c r="A25" s="939"/>
      <c r="B25" s="2435"/>
      <c r="C25" s="1233" t="str">
        <f>F!C36</f>
        <v>coniferous, 10-19 cm diameter.</v>
      </c>
      <c r="D25" s="1242">
        <f>F!D36</f>
        <v>0</v>
      </c>
      <c r="E25" s="619">
        <v>1</v>
      </c>
      <c r="F25" s="619">
        <f t="shared" si="1"/>
        <v>0</v>
      </c>
      <c r="G25" s="963"/>
      <c r="H25" s="2432"/>
      <c r="I25" s="507"/>
    </row>
    <row r="26" spans="1:10" x14ac:dyDescent="0.2">
      <c r="A26" s="939"/>
      <c r="B26" s="2435"/>
      <c r="C26" s="1233" t="str">
        <f>F!C37</f>
        <v>broad-leaved deciduous 10-19 cm diameter.</v>
      </c>
      <c r="D26" s="1242">
        <f>F!D37</f>
        <v>0</v>
      </c>
      <c r="E26" s="619">
        <v>1</v>
      </c>
      <c r="F26" s="619">
        <f t="shared" si="1"/>
        <v>0</v>
      </c>
      <c r="G26" s="963"/>
      <c r="H26" s="2432"/>
      <c r="I26" s="507"/>
    </row>
    <row r="27" spans="1:10" x14ac:dyDescent="0.2">
      <c r="A27" s="939"/>
      <c r="B27" s="2435"/>
      <c r="C27" s="1233" t="str">
        <f>F!C38</f>
        <v>coniferous, 20-40 cm diameter.</v>
      </c>
      <c r="D27" s="1242">
        <f>F!D38</f>
        <v>0</v>
      </c>
      <c r="E27" s="619">
        <v>2</v>
      </c>
      <c r="F27" s="619">
        <f t="shared" si="1"/>
        <v>0</v>
      </c>
      <c r="G27" s="963"/>
      <c r="H27" s="2432"/>
      <c r="I27" s="507"/>
    </row>
    <row r="28" spans="1:10" x14ac:dyDescent="0.2">
      <c r="A28" s="939"/>
      <c r="B28" s="2435"/>
      <c r="C28" s="1233" t="str">
        <f>F!C39</f>
        <v>broad-leaved deciduous 20-40 cm diameter.</v>
      </c>
      <c r="D28" s="1242">
        <f>F!D39</f>
        <v>0</v>
      </c>
      <c r="E28" s="619">
        <v>2</v>
      </c>
      <c r="F28" s="619">
        <f t="shared" si="1"/>
        <v>0</v>
      </c>
      <c r="G28" s="963"/>
      <c r="H28" s="2432"/>
      <c r="I28" s="507"/>
    </row>
    <row r="29" spans="1:10" x14ac:dyDescent="0.2">
      <c r="A29" s="939"/>
      <c r="B29" s="2435"/>
      <c r="C29" s="1233" t="str">
        <f>F!C40</f>
        <v>coniferous, &gt;40 cm diameter.</v>
      </c>
      <c r="D29" s="1242">
        <f>F!D40</f>
        <v>0</v>
      </c>
      <c r="E29" s="619">
        <v>4</v>
      </c>
      <c r="F29" s="619">
        <f t="shared" si="1"/>
        <v>0</v>
      </c>
      <c r="G29" s="963"/>
      <c r="H29" s="2432"/>
      <c r="I29" s="507"/>
    </row>
    <row r="30" spans="1:10" ht="13.5" thickBot="1" x14ac:dyDescent="0.25">
      <c r="A30" s="940"/>
      <c r="B30" s="2436"/>
      <c r="C30" s="1235" t="str">
        <f>F!C41</f>
        <v>broad-leaved deciduous &gt;40 cm diameter.</v>
      </c>
      <c r="D30" s="1243">
        <f>F!D41</f>
        <v>0</v>
      </c>
      <c r="E30" s="509">
        <v>4</v>
      </c>
      <c r="F30" s="509">
        <f t="shared" si="1"/>
        <v>0</v>
      </c>
      <c r="G30" s="961"/>
      <c r="H30" s="2433"/>
      <c r="I30" s="519"/>
    </row>
    <row r="31" spans="1:10" ht="39" thickBot="1" x14ac:dyDescent="0.25">
      <c r="A31" s="934" t="str">
        <f>F!A91</f>
        <v>F14</v>
      </c>
      <c r="B31" s="243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v>
      </c>
      <c r="H31" s="2431" t="s">
        <v>8724</v>
      </c>
      <c r="I31" s="521" t="s">
        <v>1519</v>
      </c>
    </row>
    <row r="32" spans="1:10" x14ac:dyDescent="0.2">
      <c r="A32" s="935"/>
      <c r="B32" s="2435"/>
      <c r="C32" s="1236" t="str">
        <f>F!C92</f>
        <v xml:space="preserve">&lt;5% of the vegetated part of the AA. </v>
      </c>
      <c r="D32" s="827">
        <f>F!D92</f>
        <v>0</v>
      </c>
      <c r="E32" s="511">
        <v>0</v>
      </c>
      <c r="F32" s="619">
        <f>D32*E32</f>
        <v>0</v>
      </c>
      <c r="G32" s="968"/>
      <c r="H32" s="2432"/>
      <c r="I32" s="507"/>
    </row>
    <row r="33" spans="1:9" x14ac:dyDescent="0.2">
      <c r="A33" s="935"/>
      <c r="B33" s="2435"/>
      <c r="C33" s="914" t="str">
        <f>F!C93</f>
        <v>5-25% of the vegetated part of the AA.</v>
      </c>
      <c r="D33" s="964">
        <f>F!D93</f>
        <v>0</v>
      </c>
      <c r="E33" s="511">
        <v>2</v>
      </c>
      <c r="F33" s="619">
        <f>D33*E33</f>
        <v>0</v>
      </c>
      <c r="G33" s="963"/>
      <c r="H33" s="2432"/>
      <c r="I33" s="507"/>
    </row>
    <row r="34" spans="1:9" x14ac:dyDescent="0.2">
      <c r="A34" s="935"/>
      <c r="B34" s="2435"/>
      <c r="C34" s="914" t="str">
        <f>F!C94</f>
        <v>25-50% of the vegetated part of the AA.</v>
      </c>
      <c r="D34" s="964">
        <f>F!D94</f>
        <v>0</v>
      </c>
      <c r="E34" s="511">
        <v>3</v>
      </c>
      <c r="F34" s="619">
        <f>D34*E34</f>
        <v>0</v>
      </c>
      <c r="G34" s="963"/>
      <c r="H34" s="2432"/>
      <c r="I34" s="507"/>
    </row>
    <row r="35" spans="1:9" x14ac:dyDescent="0.2">
      <c r="A35" s="935"/>
      <c r="B35" s="2435"/>
      <c r="C35" s="914" t="str">
        <f>F!C95</f>
        <v>50-95% of the vegetated part of the AA.</v>
      </c>
      <c r="D35" s="964">
        <f>F!D95</f>
        <v>0</v>
      </c>
      <c r="E35" s="511">
        <v>4</v>
      </c>
      <c r="F35" s="619">
        <f>D35*E35</f>
        <v>0</v>
      </c>
      <c r="G35" s="963"/>
      <c r="H35" s="2432"/>
      <c r="I35" s="507"/>
    </row>
    <row r="36" spans="1:9" ht="13.5" thickBot="1" x14ac:dyDescent="0.25">
      <c r="A36" s="937"/>
      <c r="B36" s="2436"/>
      <c r="C36" s="915" t="str">
        <f>F!C96</f>
        <v>&gt;95% of the vegetated part of the AA.</v>
      </c>
      <c r="D36" s="962">
        <f>F!D96</f>
        <v>0</v>
      </c>
      <c r="E36" s="971">
        <v>6</v>
      </c>
      <c r="F36" s="509">
        <f>D36*E36</f>
        <v>0</v>
      </c>
      <c r="G36" s="961"/>
      <c r="H36" s="2433"/>
      <c r="I36" s="519"/>
    </row>
    <row r="37" spans="1:9" ht="39" thickBot="1" x14ac:dyDescent="0.25">
      <c r="A37" s="934" t="str">
        <f>F!A107</f>
        <v>F17</v>
      </c>
      <c r="B37" s="2438"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429" t="s">
        <v>1520</v>
      </c>
      <c r="I37" s="507" t="s">
        <v>1521</v>
      </c>
    </row>
    <row r="38" spans="1:9" ht="51" x14ac:dyDescent="0.2">
      <c r="A38" s="935"/>
      <c r="B38" s="2439"/>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30"/>
      <c r="I38" s="507"/>
    </row>
    <row r="39" spans="1:9" ht="25.5" x14ac:dyDescent="0.2">
      <c r="A39" s="935"/>
      <c r="B39" s="2439"/>
      <c r="C39" s="1233" t="str">
        <f>F!C109</f>
        <v>Slightly bare ground (5-20% bare between plants) is visible in places, and those areas comprise less than 5% of the unflooded parts of the AA.</v>
      </c>
      <c r="D39" s="844">
        <f>F!D109</f>
        <v>0</v>
      </c>
      <c r="E39" s="511">
        <v>4</v>
      </c>
      <c r="F39" s="619">
        <f>D39*E39</f>
        <v>0</v>
      </c>
      <c r="G39" s="963"/>
      <c r="H39" s="2430"/>
      <c r="I39" s="507"/>
    </row>
    <row r="40" spans="1:9" ht="25.5" x14ac:dyDescent="0.2">
      <c r="A40" s="935"/>
      <c r="B40" s="2439"/>
      <c r="C40" s="1233" t="str">
        <f>F!C110</f>
        <v xml:space="preserve">Slightly bare ground (5-20% bare between plants) comprises more than 5% of the unflooded parts of the AA, </v>
      </c>
      <c r="D40" s="844">
        <f>F!D110</f>
        <v>0</v>
      </c>
      <c r="E40" s="511">
        <v>2</v>
      </c>
      <c r="F40" s="619">
        <f>D40*E40</f>
        <v>0</v>
      </c>
      <c r="G40" s="963"/>
      <c r="H40" s="2430"/>
      <c r="I40" s="507"/>
    </row>
    <row r="41" spans="1:9" ht="25.5" x14ac:dyDescent="0.2">
      <c r="A41" s="935"/>
      <c r="B41" s="2439"/>
      <c r="C41" s="1233" t="str">
        <f>F!C111</f>
        <v>Very bare ground (20-50% bare between plants) comprises more than 5% of the unflooded parts of the AA. </v>
      </c>
      <c r="D41" s="844">
        <f>F!D111</f>
        <v>0</v>
      </c>
      <c r="E41" s="511">
        <v>0</v>
      </c>
      <c r="F41" s="619">
        <f>D41*E41</f>
        <v>0</v>
      </c>
      <c r="G41" s="963"/>
      <c r="H41" s="2430"/>
      <c r="I41" s="507"/>
    </row>
    <row r="42" spans="1:9" ht="26.25" thickBot="1" x14ac:dyDescent="0.25">
      <c r="A42" s="937"/>
      <c r="B42" s="2440"/>
      <c r="C42" s="1235" t="str">
        <f>F!C112</f>
        <v>Not applicable. Surface water (either open or obscured by emergent plants) covers all of the AA all the time.</v>
      </c>
      <c r="D42" s="846">
        <f>F!D112</f>
        <v>0</v>
      </c>
      <c r="E42" s="971"/>
      <c r="F42" s="509"/>
      <c r="G42" s="961"/>
      <c r="H42" s="2437"/>
      <c r="I42" s="507"/>
    </row>
    <row r="43" spans="1:9" ht="26.25" thickBot="1" x14ac:dyDescent="0.25">
      <c r="A43" s="934" t="str">
        <f>F!A128</f>
        <v>F21</v>
      </c>
      <c r="B43" s="2438" t="str">
        <f>F!B128</f>
        <v>Soil Texture [WS, SFTS, PR, NR,WFR, CSP, CC, APP, PH, Sens]</v>
      </c>
      <c r="C43" s="913" t="str">
        <f>F!C128</f>
        <v>In parts of the AA that lack persistent water, the texture of soil in the uppermost (&lt;20 cm) layer is mostly:</v>
      </c>
      <c r="D43" s="839"/>
      <c r="E43" s="1228"/>
      <c r="F43" s="936"/>
      <c r="G43" s="960">
        <f>MAX(F44:F48)/MAX(E44:E48)</f>
        <v>0</v>
      </c>
      <c r="H43" s="2431" t="s">
        <v>8863</v>
      </c>
      <c r="I43" s="521" t="s">
        <v>1522</v>
      </c>
    </row>
    <row r="44" spans="1:9" ht="38.25" x14ac:dyDescent="0.2">
      <c r="A44" s="935"/>
      <c r="B44" s="2439"/>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432"/>
      <c r="I44" s="507"/>
    </row>
    <row r="45" spans="1:9" ht="25.5" x14ac:dyDescent="0.2">
      <c r="A45" s="935"/>
      <c r="B45" s="2439"/>
      <c r="C45" s="914" t="str">
        <f>F!C130</f>
        <v>Fines: includes silt, clay, silt, soils that make a ribbon longer than 2 cm when moistened, rolled, squeezed, and extended between thumb and forefinger.</v>
      </c>
      <c r="D45" s="844">
        <f>F!D130</f>
        <v>0</v>
      </c>
      <c r="E45" s="511">
        <v>1</v>
      </c>
      <c r="F45" s="619">
        <f>D45*E45</f>
        <v>0</v>
      </c>
      <c r="G45" s="963"/>
      <c r="H45" s="2432"/>
      <c r="I45" s="507"/>
    </row>
    <row r="46" spans="1:9" x14ac:dyDescent="0.2">
      <c r="A46" s="935"/>
      <c r="B46" s="2439"/>
      <c r="C46" s="914" t="str">
        <f>F!C131</f>
        <v>Deep Peat, to 40 cm (16 inch) depth or greater.</v>
      </c>
      <c r="D46" s="844">
        <f>F!D131</f>
        <v>0</v>
      </c>
      <c r="E46" s="511">
        <v>5</v>
      </c>
      <c r="F46" s="619">
        <f>D46*E46</f>
        <v>0</v>
      </c>
      <c r="G46" s="963"/>
      <c r="H46" s="2432"/>
      <c r="I46" s="507"/>
    </row>
    <row r="47" spans="1:9" x14ac:dyDescent="0.2">
      <c r="A47" s="935"/>
      <c r="B47" s="2439"/>
      <c r="C47" s="914" t="str">
        <f>F!C132</f>
        <v xml:space="preserve">Shallow Peat or organic &lt;40 cm deep. </v>
      </c>
      <c r="D47" s="844">
        <f>F!D132</f>
        <v>0</v>
      </c>
      <c r="E47" s="511">
        <v>4</v>
      </c>
      <c r="F47" s="619">
        <f>D47*E47</f>
        <v>0</v>
      </c>
      <c r="G47" s="966"/>
      <c r="H47" s="2432"/>
      <c r="I47" s="507"/>
    </row>
    <row r="48" spans="1:9" ht="39" thickBot="1" x14ac:dyDescent="0.25">
      <c r="A48" s="935"/>
      <c r="B48" s="2439"/>
      <c r="C48" s="1237" t="str">
        <f>F!C133</f>
        <v>Coarse: includes sand, loamy sand, gravel, cobble, soils that do not make a ribbon when moistened, rolled, squeezed, and extended between thumb and forefinger.</v>
      </c>
      <c r="D48" s="1244">
        <f>F!D133</f>
        <v>0</v>
      </c>
      <c r="E48" s="603">
        <v>0</v>
      </c>
      <c r="F48" s="621">
        <f>D48*E48</f>
        <v>0</v>
      </c>
      <c r="G48" s="966"/>
      <c r="H48" s="2432"/>
      <c r="I48" s="519"/>
    </row>
    <row r="49" spans="1:9" ht="32.25" customHeight="1" thickBot="1" x14ac:dyDescent="0.25">
      <c r="A49" s="2459" t="str">
        <f>F!A168</f>
        <v>F28</v>
      </c>
      <c r="B49" s="2438"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0</v>
      </c>
      <c r="H49" s="2429" t="s">
        <v>8725</v>
      </c>
      <c r="I49" s="507" t="s">
        <v>8720</v>
      </c>
    </row>
    <row r="50" spans="1:9" x14ac:dyDescent="0.2">
      <c r="A50" s="2460"/>
      <c r="B50" s="2439"/>
      <c r="C50" s="1233" t="str">
        <f>F!C169</f>
        <v>&lt;10 cm change (stable or nearly so).</v>
      </c>
      <c r="D50" s="844">
        <f>F!D169</f>
        <v>0</v>
      </c>
      <c r="E50" s="619">
        <v>6</v>
      </c>
      <c r="F50" s="619">
        <f t="shared" ref="F50:F54" si="2">D50*E50</f>
        <v>0</v>
      </c>
      <c r="G50" s="968"/>
      <c r="H50" s="2430"/>
      <c r="I50" s="507"/>
    </row>
    <row r="51" spans="1:9" x14ac:dyDescent="0.2">
      <c r="A51" s="2460"/>
      <c r="B51" s="2439"/>
      <c r="C51" s="1233" t="str">
        <f>F!C170</f>
        <v>10 cm - 50 cm change.</v>
      </c>
      <c r="D51" s="844">
        <f>F!D170</f>
        <v>0</v>
      </c>
      <c r="E51" s="619">
        <v>4</v>
      </c>
      <c r="F51" s="619">
        <f t="shared" si="2"/>
        <v>0</v>
      </c>
      <c r="G51" s="963"/>
      <c r="H51" s="2430"/>
      <c r="I51" s="507"/>
    </row>
    <row r="52" spans="1:9" x14ac:dyDescent="0.2">
      <c r="A52" s="2460"/>
      <c r="B52" s="2439"/>
      <c r="C52" s="1233" t="str">
        <f>F!C171</f>
        <v>0.5 - 1 m change.</v>
      </c>
      <c r="D52" s="844">
        <f>F!D171</f>
        <v>0</v>
      </c>
      <c r="E52" s="619">
        <v>3</v>
      </c>
      <c r="F52" s="619">
        <f t="shared" si="2"/>
        <v>0</v>
      </c>
      <c r="G52" s="963"/>
      <c r="H52" s="2430"/>
      <c r="I52" s="507"/>
    </row>
    <row r="53" spans="1:9" x14ac:dyDescent="0.2">
      <c r="A53" s="2460"/>
      <c r="B53" s="2439"/>
      <c r="C53" s="1233" t="str">
        <f>F!C172</f>
        <v>1-2 m change.</v>
      </c>
      <c r="D53" s="844">
        <f>F!D172</f>
        <v>0</v>
      </c>
      <c r="E53" s="619">
        <v>2</v>
      </c>
      <c r="F53" s="619">
        <f t="shared" si="2"/>
        <v>0</v>
      </c>
      <c r="G53" s="963"/>
      <c r="H53" s="2430"/>
      <c r="I53" s="507"/>
    </row>
    <row r="54" spans="1:9" ht="13.5" thickBot="1" x14ac:dyDescent="0.25">
      <c r="A54" s="2461"/>
      <c r="B54" s="2440"/>
      <c r="C54" s="1235" t="str">
        <f>F!C173</f>
        <v>&gt;2 m change.</v>
      </c>
      <c r="D54" s="846">
        <f>F!D173</f>
        <v>0</v>
      </c>
      <c r="E54" s="509">
        <v>0</v>
      </c>
      <c r="F54" s="509">
        <f t="shared" si="2"/>
        <v>0</v>
      </c>
      <c r="G54" s="961"/>
      <c r="H54" s="2437"/>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32" t="s">
        <v>8722</v>
      </c>
      <c r="I55" s="521" t="s">
        <v>1523</v>
      </c>
    </row>
    <row r="56" spans="1:9" x14ac:dyDescent="0.2">
      <c r="A56" s="935"/>
      <c r="B56" s="970"/>
      <c r="C56" s="914" t="str">
        <f>F!C233</f>
        <v>Persistent (surface water flows out for &gt;9 months/year).</v>
      </c>
      <c r="D56" s="844">
        <f>F!D233</f>
        <v>0</v>
      </c>
      <c r="E56" s="511">
        <v>0</v>
      </c>
      <c r="F56" s="619">
        <f>D56*E56</f>
        <v>0</v>
      </c>
      <c r="G56" s="968"/>
      <c r="H56" s="2432"/>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32"/>
      <c r="I57" s="507"/>
    </row>
    <row r="58" spans="1:9" x14ac:dyDescent="0.2">
      <c r="A58" s="935"/>
      <c r="B58" s="970"/>
      <c r="C58" s="914" t="str">
        <f>F!C235</f>
        <v>Temporary (surface water flows out for &lt;14 days, not necessarily consecutive).</v>
      </c>
      <c r="D58" s="844">
        <f>F!D235</f>
        <v>0</v>
      </c>
      <c r="E58" s="511">
        <v>2</v>
      </c>
      <c r="F58" s="619">
        <f>D58*E58</f>
        <v>0</v>
      </c>
      <c r="G58" s="963"/>
      <c r="H58" s="2432"/>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32"/>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32"/>
      <c r="I60" s="507"/>
    </row>
    <row r="61" spans="1:9" ht="38.25" customHeight="1" thickBot="1" x14ac:dyDescent="0.25">
      <c r="A61" s="2459" t="str">
        <f>F!A239</f>
        <v>F44</v>
      </c>
      <c r="B61" s="2438"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31" t="s">
        <v>8730</v>
      </c>
      <c r="I61" s="521" t="s">
        <v>8731</v>
      </c>
    </row>
    <row r="62" spans="1:9" ht="38.25" x14ac:dyDescent="0.2">
      <c r="A62" s="2460"/>
      <c r="B62" s="2439"/>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32"/>
      <c r="I62" s="507"/>
    </row>
    <row r="63" spans="1:9" ht="25.5" x14ac:dyDescent="0.2">
      <c r="A63" s="2460"/>
      <c r="B63" s="2439"/>
      <c r="C63" s="1233" t="str">
        <f>F!C241</f>
        <v>Leaves through natural exits (channels or diffuse outflow), not mainly through artificial or temporary features.</v>
      </c>
      <c r="D63" s="844">
        <f>F!D241</f>
        <v>0</v>
      </c>
      <c r="E63" s="2019">
        <v>1</v>
      </c>
      <c r="F63" s="619">
        <f t="shared" si="3"/>
        <v>0</v>
      </c>
      <c r="G63" s="963"/>
      <c r="H63" s="2432"/>
      <c r="I63" s="507"/>
    </row>
    <row r="64" spans="1:9" ht="39" thickBot="1" x14ac:dyDescent="0.25">
      <c r="A64" s="2461"/>
      <c r="B64" s="2440"/>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33"/>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v>
      </c>
      <c r="H65" s="2457"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57"/>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57"/>
      <c r="I67" s="507"/>
      <c r="J67" s="2024"/>
    </row>
    <row r="68" spans="1:10" ht="24" customHeight="1" x14ac:dyDescent="0.2">
      <c r="A68" s="1558"/>
      <c r="B68" s="987"/>
      <c r="C68" s="914" t="str">
        <f>F!C289</f>
        <v>Yes, and created or expanded 3-20 years ago.</v>
      </c>
      <c r="D68" s="844">
        <f>F!D289</f>
        <v>0</v>
      </c>
      <c r="E68" s="603">
        <v>1</v>
      </c>
      <c r="F68" s="619">
        <f>D68*E68</f>
        <v>0</v>
      </c>
      <c r="G68" s="963"/>
      <c r="H68" s="2457"/>
      <c r="I68" s="507"/>
    </row>
    <row r="69" spans="1:10" ht="24" customHeight="1" x14ac:dyDescent="0.2">
      <c r="A69" s="1558"/>
      <c r="B69" s="987"/>
      <c r="C69" s="914" t="str">
        <f>F!C290</f>
        <v>Yes, and created or expanded within last 3 years.</v>
      </c>
      <c r="D69" s="844">
        <f>F!D290</f>
        <v>0</v>
      </c>
      <c r="E69" s="603">
        <v>0</v>
      </c>
      <c r="F69" s="619">
        <f>D69*E69</f>
        <v>0</v>
      </c>
      <c r="G69" s="963"/>
      <c r="H69" s="2457"/>
      <c r="I69" s="507"/>
      <c r="J69" s="2024"/>
    </row>
    <row r="70" spans="1:10" ht="24" customHeight="1" x14ac:dyDescent="0.2">
      <c r="A70" s="1558"/>
      <c r="B70" s="987"/>
      <c r="C70" s="914" t="str">
        <f>F!C291</f>
        <v>Yes, but time of origin or expansion unknown.</v>
      </c>
      <c r="D70" s="844">
        <f>F!D291</f>
        <v>0</v>
      </c>
      <c r="E70" s="603">
        <v>1</v>
      </c>
      <c r="F70" s="619">
        <f>D70*E70</f>
        <v>0</v>
      </c>
      <c r="G70" s="963"/>
      <c r="H70" s="2457"/>
      <c r="I70" s="507"/>
      <c r="J70" s="2024"/>
    </row>
    <row r="71" spans="1:10" ht="23.25" customHeight="1" thickBot="1" x14ac:dyDescent="0.25">
      <c r="A71" s="1558"/>
      <c r="B71" s="987"/>
      <c r="C71" s="1237" t="str">
        <f>F!C292</f>
        <v>Unknown if new or expanded within 20 years or not.</v>
      </c>
      <c r="D71" s="1244">
        <f>F!D292</f>
        <v>0</v>
      </c>
      <c r="E71" s="603"/>
      <c r="F71" s="621"/>
      <c r="G71" s="966"/>
      <c r="H71" s="2457"/>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v>
      </c>
      <c r="H72" s="2456"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57"/>
      <c r="I73" s="507"/>
      <c r="J73" s="2024"/>
    </row>
    <row r="74" spans="1:10" ht="28.5" customHeight="1" x14ac:dyDescent="0.2">
      <c r="A74" s="1560"/>
      <c r="B74" s="987"/>
      <c r="C74" s="1239" t="str">
        <f>F!C296</f>
        <v>Burned 6-10 years ago.</v>
      </c>
      <c r="D74" s="1242">
        <f>F!D296</f>
        <v>0</v>
      </c>
      <c r="E74" s="511">
        <v>1</v>
      </c>
      <c r="F74" s="619">
        <f>D74*E74</f>
        <v>0</v>
      </c>
      <c r="G74" s="963"/>
      <c r="H74" s="2457"/>
      <c r="I74" s="507"/>
    </row>
    <row r="75" spans="1:10" ht="28.5" customHeight="1" x14ac:dyDescent="0.2">
      <c r="A75" s="1560"/>
      <c r="B75" s="987"/>
      <c r="C75" s="1239" t="str">
        <f>F!C297</f>
        <v>Burned 11-30 years ago.</v>
      </c>
      <c r="D75" s="1242">
        <f>F!D297</f>
        <v>0</v>
      </c>
      <c r="E75" s="511">
        <v>3</v>
      </c>
      <c r="F75" s="619">
        <f>D75*E75</f>
        <v>0</v>
      </c>
      <c r="G75" s="963"/>
      <c r="H75" s="2457"/>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57"/>
      <c r="I76" s="519"/>
    </row>
    <row r="77" spans="1:10" ht="13.5" thickBot="1" x14ac:dyDescent="0.25">
      <c r="A77" s="2453" t="str">
        <f>F!A337</f>
        <v>F65</v>
      </c>
      <c r="B77" s="2462" t="str">
        <f>F!B337</f>
        <v>pH Measurement [PR, NR, CSP, APP, FA, FR, AM, WBN, Sens]</v>
      </c>
      <c r="C77" s="1238" t="str">
        <f>F!C337</f>
        <v>The pH in most of the AA's surface water:</v>
      </c>
      <c r="D77" s="839"/>
      <c r="E77" s="510"/>
      <c r="F77" s="936"/>
      <c r="G77" s="1834">
        <f>IF((D80=1),"",IF((D79=1),0.8,IF((D78=""),"",IF((D78&lt;=4.5),1,IF((D125&gt;4.5), 0.5,IF((D125&lt;7.5),0.5,0))))))</f>
        <v>0.8</v>
      </c>
      <c r="H77" s="2456" t="s">
        <v>8636</v>
      </c>
      <c r="I77" s="2429" t="s">
        <v>8377</v>
      </c>
    </row>
    <row r="78" spans="1:10" x14ac:dyDescent="0.2">
      <c r="A78" s="2454"/>
      <c r="B78" s="2463"/>
      <c r="C78" s="1239" t="str">
        <f>F!C338</f>
        <v>Was measured, and is:  [enter the reading in the column to the right.]</v>
      </c>
      <c r="D78" s="1902" t="str">
        <f>IF((F!D338=""),"",F!D338)</f>
        <v/>
      </c>
      <c r="E78" s="619"/>
      <c r="F78" s="619"/>
      <c r="G78" s="968"/>
      <c r="H78" s="2457"/>
      <c r="I78" s="2430"/>
    </row>
    <row r="79" spans="1:10" ht="38.25" x14ac:dyDescent="0.2">
      <c r="A79" s="2454"/>
      <c r="B79" s="2463"/>
      <c r="C79" s="1239" t="str">
        <f>F!C339</f>
        <v xml:space="preserve">Was not measured but surface water is present and is darkly tea-coloured.  Or if no surface water, then mosses and plants that indicate peatland (e.g., Labrador tea) are prevalent. Enter "1". </v>
      </c>
      <c r="D79" s="1242">
        <f>F!D339</f>
        <v>1</v>
      </c>
      <c r="E79" s="619"/>
      <c r="F79" s="619"/>
      <c r="G79" s="963"/>
      <c r="H79" s="2457"/>
      <c r="I79" s="2430"/>
    </row>
    <row r="80" spans="1:10" ht="13.5" thickBot="1" x14ac:dyDescent="0.25">
      <c r="A80" s="2455"/>
      <c r="B80" s="2464"/>
      <c r="C80" s="1240" t="str">
        <f>F!C340</f>
        <v>Neither of above. Enter "1".</v>
      </c>
      <c r="D80" s="1243">
        <f>F!D340</f>
        <v>0</v>
      </c>
      <c r="E80" s="509"/>
      <c r="F80" s="509"/>
      <c r="G80" s="961"/>
      <c r="H80" s="2458"/>
      <c r="I80" s="2437"/>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4.6031746031746037</v>
      </c>
      <c r="H83" s="1889" t="s">
        <v>8732</v>
      </c>
      <c r="I83" s="958"/>
      <c r="J83" s="488" t="s">
        <v>8729</v>
      </c>
    </row>
    <row r="84" spans="1:10" ht="38.25" customHeight="1" thickBot="1" x14ac:dyDescent="0.25">
      <c r="A84" s="941"/>
      <c r="B84" s="941"/>
      <c r="C84" s="945" t="s">
        <v>8728</v>
      </c>
      <c r="D84" s="957"/>
      <c r="E84" s="956"/>
      <c r="F84" s="520" t="s">
        <v>991</v>
      </c>
      <c r="G84" s="955"/>
      <c r="H84" s="2451" t="s">
        <v>1529</v>
      </c>
      <c r="I84" s="2452"/>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 ref="A1:B1"/>
    <mergeCell ref="H14:H21"/>
    <mergeCell ref="B14:B21"/>
    <mergeCell ref="A14:A21"/>
    <mergeCell ref="H22:H30"/>
    <mergeCell ref="B22:B30"/>
    <mergeCell ref="B7:B13"/>
    <mergeCell ref="B37:B42"/>
    <mergeCell ref="H37:H42"/>
    <mergeCell ref="A3:A6"/>
    <mergeCell ref="B3:B6"/>
    <mergeCell ref="H3:H6"/>
    <mergeCell ref="I3:I6"/>
    <mergeCell ref="H31:H36"/>
    <mergeCell ref="B31:B36"/>
    <mergeCell ref="H7:H13"/>
    <mergeCell ref="I14:I21"/>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500" t="s">
        <v>8365</v>
      </c>
      <c r="B1" s="2500"/>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v>
      </c>
      <c r="E3" s="513"/>
      <c r="F3" s="513"/>
      <c r="G3" s="1904">
        <f>1-D3</f>
        <v>1</v>
      </c>
      <c r="H3" s="2000" t="s">
        <v>8704</v>
      </c>
      <c r="I3" s="2001" t="s">
        <v>8696</v>
      </c>
    </row>
    <row r="4" spans="1:10" ht="95.25" thickBot="1" x14ac:dyDescent="0.25">
      <c r="A4" s="2478" t="str">
        <f>OF!A121</f>
        <v>OF22</v>
      </c>
      <c r="B4" s="2472"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v>
      </c>
      <c r="H4" s="2469" t="s">
        <v>8705</v>
      </c>
      <c r="I4" s="2475" t="s">
        <v>8697</v>
      </c>
    </row>
    <row r="5" spans="1:10" ht="27" x14ac:dyDescent="0.2">
      <c r="A5" s="2479"/>
      <c r="B5" s="2473"/>
      <c r="C5" s="2012" t="str">
        <f>OF!C122</f>
        <v>&lt;0.01, or catchment size unknown due to stormwater pipes that collect water from an indeterminate area.</v>
      </c>
      <c r="D5" s="2014">
        <f>OF!D122</f>
        <v>0</v>
      </c>
      <c r="E5" s="619">
        <v>3</v>
      </c>
      <c r="F5" s="619">
        <f t="shared" ref="F5:F8" si="0">D5*E5</f>
        <v>0</v>
      </c>
      <c r="G5" s="845"/>
      <c r="H5" s="2470"/>
      <c r="I5" s="2476"/>
    </row>
    <row r="6" spans="1:10" ht="13.5" x14ac:dyDescent="0.2">
      <c r="A6" s="2479"/>
      <c r="B6" s="2473"/>
      <c r="C6" s="2012" t="str">
        <f>OF!C123</f>
        <v>0.01 to 0.1.</v>
      </c>
      <c r="D6" s="2014">
        <f>OF!D123</f>
        <v>0</v>
      </c>
      <c r="E6" s="619">
        <v>2</v>
      </c>
      <c r="F6" s="619">
        <f t="shared" si="0"/>
        <v>0</v>
      </c>
      <c r="G6" s="845"/>
      <c r="H6" s="2470"/>
      <c r="I6" s="2476"/>
    </row>
    <row r="7" spans="1:10" ht="13.5" x14ac:dyDescent="0.2">
      <c r="A7" s="2479"/>
      <c r="B7" s="2473"/>
      <c r="C7" s="2012" t="str">
        <f>OF!C124</f>
        <v>0.1 to 1.</v>
      </c>
      <c r="D7" s="2014">
        <f>OF!D124</f>
        <v>0</v>
      </c>
      <c r="E7" s="619">
        <v>1</v>
      </c>
      <c r="F7" s="619">
        <f t="shared" si="0"/>
        <v>0</v>
      </c>
      <c r="G7" s="845"/>
      <c r="H7" s="2470"/>
      <c r="I7" s="2476"/>
    </row>
    <row r="8" spans="1:10" ht="27.75" thickBot="1" x14ac:dyDescent="0.25">
      <c r="A8" s="2480"/>
      <c r="B8" s="2474"/>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71"/>
      <c r="I8" s="2477"/>
    </row>
    <row r="9" spans="1:10" ht="54.75" customHeight="1" thickBot="1" x14ac:dyDescent="0.25">
      <c r="A9" s="2478" t="str">
        <f>OF!A127</f>
        <v>OF23</v>
      </c>
      <c r="B9" s="2472"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v>
      </c>
      <c r="H9" s="2469" t="s">
        <v>8706</v>
      </c>
      <c r="I9" s="2476" t="s">
        <v>8698</v>
      </c>
    </row>
    <row r="10" spans="1:10" ht="13.5" x14ac:dyDescent="0.2">
      <c r="A10" s="2479"/>
      <c r="B10" s="2473"/>
      <c r="C10" s="2012" t="str">
        <f>OF!C128</f>
        <v>&lt;10%.</v>
      </c>
      <c r="D10" s="2014">
        <f>OF!D128</f>
        <v>0</v>
      </c>
      <c r="E10" s="619">
        <v>3</v>
      </c>
      <c r="F10" s="619">
        <f t="shared" ref="F10:F12" si="1">D10*E10</f>
        <v>0</v>
      </c>
      <c r="G10" s="845"/>
      <c r="H10" s="2470"/>
      <c r="I10" s="2476"/>
    </row>
    <row r="11" spans="1:10" ht="13.5" x14ac:dyDescent="0.2">
      <c r="A11" s="2479"/>
      <c r="B11" s="2473"/>
      <c r="C11" s="2012" t="str">
        <f>OF!C129</f>
        <v>10 to 25%.</v>
      </c>
      <c r="D11" s="2014">
        <f>OF!D129</f>
        <v>0</v>
      </c>
      <c r="E11" s="619">
        <v>1</v>
      </c>
      <c r="F11" s="619">
        <f t="shared" si="1"/>
        <v>0</v>
      </c>
      <c r="G11" s="845"/>
      <c r="H11" s="2470"/>
      <c r="I11" s="2476"/>
    </row>
    <row r="12" spans="1:10" ht="14.25" thickBot="1" x14ac:dyDescent="0.25">
      <c r="A12" s="2480"/>
      <c r="B12" s="2474"/>
      <c r="C12" s="2013" t="str">
        <f>OF!C130</f>
        <v>&gt;25%.</v>
      </c>
      <c r="D12" s="2015">
        <f>OF!D130</f>
        <v>0</v>
      </c>
      <c r="E12" s="509">
        <v>0</v>
      </c>
      <c r="F12" s="509">
        <f t="shared" si="1"/>
        <v>0</v>
      </c>
      <c r="G12" s="847"/>
      <c r="H12" s="2471"/>
      <c r="I12" s="2477"/>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501" t="str">
        <f>F!A5</f>
        <v>F1</v>
      </c>
      <c r="B14" s="2444"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v>
      </c>
      <c r="H14" s="2432" t="s">
        <v>8920</v>
      </c>
      <c r="I14" s="507" t="s">
        <v>1608</v>
      </c>
    </row>
    <row r="15" spans="1:10" ht="63.75" x14ac:dyDescent="0.2">
      <c r="A15" s="2501"/>
      <c r="B15" s="2445"/>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32"/>
      <c r="I15" s="507"/>
      <c r="J15" s="2024"/>
    </row>
    <row r="16" spans="1:10" ht="76.5" x14ac:dyDescent="0.2">
      <c r="A16" s="2501"/>
      <c r="B16" s="2445"/>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 t="shared" ref="F16:F17" si="2">D16*E16</f>
        <v>0</v>
      </c>
      <c r="G16" s="1905"/>
      <c r="H16" s="2432"/>
      <c r="I16" s="507"/>
      <c r="J16" s="2023"/>
    </row>
    <row r="17" spans="1:11" ht="51" x14ac:dyDescent="0.2">
      <c r="A17" s="2501"/>
      <c r="B17" s="2445"/>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32"/>
      <c r="I17" s="507"/>
      <c r="J17" s="2024"/>
    </row>
    <row r="18" spans="1:11" ht="38.25" x14ac:dyDescent="0.2">
      <c r="A18" s="2501"/>
      <c r="B18" s="2445"/>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32"/>
      <c r="I18" s="507"/>
    </row>
    <row r="19" spans="1:11" ht="38.25" x14ac:dyDescent="0.2">
      <c r="A19" s="2501"/>
      <c r="B19" s="2445"/>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432"/>
      <c r="I19" s="507"/>
    </row>
    <row r="20" spans="1:11" ht="39" thickBot="1" x14ac:dyDescent="0.25">
      <c r="A20" s="2501"/>
      <c r="B20" s="2446"/>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32"/>
      <c r="I20" s="519"/>
    </row>
    <row r="21" spans="1:11" ht="39" thickBot="1" x14ac:dyDescent="0.25">
      <c r="A21" s="2483" t="str">
        <f>F!A19</f>
        <v>F3</v>
      </c>
      <c r="B21" s="2467"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v>
      </c>
      <c r="H21" s="2431" t="s">
        <v>8921</v>
      </c>
      <c r="I21" s="2429" t="s">
        <v>1609</v>
      </c>
      <c r="J21" s="2465"/>
      <c r="K21" s="2466"/>
    </row>
    <row r="22" spans="1:11" x14ac:dyDescent="0.2">
      <c r="A22" s="2484"/>
      <c r="B22" s="2445"/>
      <c r="C22" s="1320" t="str">
        <f>F!C20</f>
        <v>evergreen trees (may include tamarack) taller than 6 m.</v>
      </c>
      <c r="D22" s="844">
        <f>F!D20</f>
        <v>0</v>
      </c>
      <c r="E22" s="619">
        <v>2</v>
      </c>
      <c r="F22" s="619">
        <f t="shared" ref="F22:F27" si="4">D22*E22</f>
        <v>0</v>
      </c>
      <c r="G22" s="843"/>
      <c r="H22" s="2432"/>
      <c r="I22" s="2430"/>
    </row>
    <row r="23" spans="1:11" x14ac:dyDescent="0.2">
      <c r="A23" s="2484"/>
      <c r="B23" s="2445"/>
      <c r="C23" s="1320" t="str">
        <f>F!C21</f>
        <v>deciduous trees taller than 6 m.</v>
      </c>
      <c r="D23" s="844">
        <f>F!D21</f>
        <v>0</v>
      </c>
      <c r="E23" s="619">
        <v>1</v>
      </c>
      <c r="F23" s="619">
        <f t="shared" si="4"/>
        <v>0</v>
      </c>
      <c r="G23" s="845"/>
      <c r="H23" s="2432"/>
      <c r="I23" s="2430"/>
    </row>
    <row r="24" spans="1:11" x14ac:dyDescent="0.2">
      <c r="A24" s="2484"/>
      <c r="B24" s="2445"/>
      <c r="C24" s="1320" t="str">
        <f>F!C22</f>
        <v>evergreen shrubs or trees 2 to 6 m tall not directly below the canopy of trees.</v>
      </c>
      <c r="D24" s="844">
        <f>F!D22</f>
        <v>0</v>
      </c>
      <c r="E24" s="619">
        <v>2</v>
      </c>
      <c r="F24" s="619">
        <f t="shared" si="4"/>
        <v>0</v>
      </c>
      <c r="G24" s="845"/>
      <c r="H24" s="2432"/>
      <c r="I24" s="2430"/>
    </row>
    <row r="25" spans="1:11" x14ac:dyDescent="0.2">
      <c r="A25" s="2484"/>
      <c r="B25" s="2445"/>
      <c r="C25" s="1320" t="str">
        <f>F!C23</f>
        <v>deciduous shrubs or trees 2 to 6 m tall not directly below the canopy of trees.</v>
      </c>
      <c r="D25" s="844">
        <f>F!D23</f>
        <v>0</v>
      </c>
      <c r="E25" s="619">
        <v>1</v>
      </c>
      <c r="F25" s="619">
        <f t="shared" si="4"/>
        <v>0</v>
      </c>
      <c r="G25" s="845"/>
      <c r="H25" s="2432"/>
      <c r="I25" s="2430"/>
    </row>
    <row r="26" spans="1:11" x14ac:dyDescent="0.2">
      <c r="A26" s="2484"/>
      <c r="B26" s="2445"/>
      <c r="C26" s="1320" t="str">
        <f>F!C24</f>
        <v>evergreen vegetation 0.5 to 2 m tall not directly below the canopy of taller vegetation.</v>
      </c>
      <c r="D26" s="844">
        <f>F!D24</f>
        <v>0</v>
      </c>
      <c r="E26" s="619">
        <v>2</v>
      </c>
      <c r="F26" s="619">
        <f t="shared" si="4"/>
        <v>0</v>
      </c>
      <c r="G26" s="845"/>
      <c r="H26" s="2432"/>
      <c r="I26" s="2430"/>
    </row>
    <row r="27" spans="1:11" ht="25.5" x14ac:dyDescent="0.2">
      <c r="A27" s="2484"/>
      <c r="B27" s="2445"/>
      <c r="C27" s="1320" t="str">
        <f>F!C25</f>
        <v>deciduous vegetation 0.5 to 2 m tall (e.g., deciduous seedlings) not directly below the canopy of taller vegetation.</v>
      </c>
      <c r="D27" s="844">
        <f>F!D25</f>
        <v>0</v>
      </c>
      <c r="E27" s="619">
        <v>1</v>
      </c>
      <c r="F27" s="619">
        <f t="shared" si="4"/>
        <v>0</v>
      </c>
      <c r="G27" s="845"/>
      <c r="H27" s="2432"/>
      <c r="I27" s="2430"/>
    </row>
    <row r="28" spans="1:11" ht="25.5" customHeight="1" thickBot="1" x14ac:dyDescent="0.25">
      <c r="A28" s="2485"/>
      <c r="B28" s="2468"/>
      <c r="C28" s="1327" t="str">
        <f>F!C26</f>
        <v>Non-woody vegetation (except mosses) not under a tree or shrub canopy.</v>
      </c>
      <c r="D28" s="846">
        <f>F!D26</f>
        <v>0</v>
      </c>
      <c r="E28" s="509"/>
      <c r="F28" s="509"/>
      <c r="G28" s="847"/>
      <c r="H28" s="2433"/>
      <c r="I28" s="2430"/>
    </row>
    <row r="29" spans="1:11" ht="26.25" thickBot="1" x14ac:dyDescent="0.25">
      <c r="A29" s="2502" t="str">
        <f>F!A49</f>
        <v>F7</v>
      </c>
      <c r="B29" s="2444"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v>
      </c>
      <c r="H29" s="2432" t="s">
        <v>1610</v>
      </c>
      <c r="I29" s="903" t="s">
        <v>1611</v>
      </c>
    </row>
    <row r="30" spans="1:11" ht="25.5" x14ac:dyDescent="0.2">
      <c r="A30" s="2501"/>
      <c r="B30" s="2445"/>
      <c r="C30" s="1319" t="str">
        <f>F!C50</f>
        <v>&lt;5% of the vegetated part of the AA or &lt;0.01 hectare (whichever is less). Mark "1" here and SKIP to F11 (Invasive Plant Cover).</v>
      </c>
      <c r="D30" s="1315">
        <f>F!D50</f>
        <v>0</v>
      </c>
      <c r="E30" s="619">
        <v>5</v>
      </c>
      <c r="F30" s="619">
        <f t="shared" ref="F30:F34" si="5">D30*E30</f>
        <v>0</v>
      </c>
      <c r="G30" s="843"/>
      <c r="H30" s="2432"/>
      <c r="I30" s="702"/>
    </row>
    <row r="31" spans="1:11" x14ac:dyDescent="0.2">
      <c r="A31" s="2501"/>
      <c r="B31" s="2445"/>
      <c r="C31" s="1319" t="str">
        <f>F!C51</f>
        <v>5-25% of the vegetated part of the AA.</v>
      </c>
      <c r="D31" s="1315">
        <f>F!D51</f>
        <v>0</v>
      </c>
      <c r="E31" s="619">
        <v>3</v>
      </c>
      <c r="F31" s="619">
        <f t="shared" si="5"/>
        <v>0</v>
      </c>
      <c r="G31" s="845"/>
      <c r="H31" s="2432"/>
      <c r="I31" s="702"/>
    </row>
    <row r="32" spans="1:11" x14ac:dyDescent="0.2">
      <c r="A32" s="2501"/>
      <c r="B32" s="2445"/>
      <c r="C32" s="1319" t="str">
        <f>F!C52</f>
        <v>25-50% of the vegetated part of the AA.</v>
      </c>
      <c r="D32" s="932">
        <f>F!D52</f>
        <v>0</v>
      </c>
      <c r="E32" s="619">
        <v>2</v>
      </c>
      <c r="F32" s="619">
        <f t="shared" si="5"/>
        <v>0</v>
      </c>
      <c r="G32" s="845"/>
      <c r="H32" s="2432"/>
      <c r="I32" s="702"/>
    </row>
    <row r="33" spans="1:10" x14ac:dyDescent="0.2">
      <c r="A33" s="2501"/>
      <c r="B33" s="2445"/>
      <c r="C33" s="1319" t="str">
        <f>F!C53</f>
        <v>50-95% of the vegetated part of the AA.</v>
      </c>
      <c r="D33" s="1315">
        <f>F!D53</f>
        <v>0</v>
      </c>
      <c r="E33" s="619">
        <v>1</v>
      </c>
      <c r="F33" s="619">
        <f t="shared" si="5"/>
        <v>0</v>
      </c>
      <c r="G33" s="845"/>
      <c r="H33" s="2432"/>
      <c r="I33" s="702"/>
    </row>
    <row r="34" spans="1:10" ht="13.5" thickBot="1" x14ac:dyDescent="0.25">
      <c r="A34" s="2501"/>
      <c r="B34" s="2446"/>
      <c r="C34" s="505" t="str">
        <f>F!C54</f>
        <v>&gt;95% of the vegetated part of the AA.</v>
      </c>
      <c r="D34" s="1316">
        <f>F!D54</f>
        <v>0</v>
      </c>
      <c r="E34" s="621">
        <v>0</v>
      </c>
      <c r="F34" s="619">
        <f t="shared" si="5"/>
        <v>0</v>
      </c>
      <c r="G34" s="848"/>
      <c r="H34" s="2432"/>
      <c r="I34" s="904"/>
    </row>
    <row r="35" spans="1:10" ht="44.25" customHeight="1" thickBot="1" x14ac:dyDescent="0.25">
      <c r="A35" s="2483" t="str">
        <f>F!A63</f>
        <v>F9</v>
      </c>
      <c r="B35" s="2467"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v>
      </c>
      <c r="H35" s="2431" t="s">
        <v>8807</v>
      </c>
      <c r="I35" s="903" t="s">
        <v>1612</v>
      </c>
      <c r="J35" s="2023"/>
    </row>
    <row r="36" spans="1:10" ht="19.5" customHeight="1" x14ac:dyDescent="0.2">
      <c r="A36" s="2484"/>
      <c r="B36" s="2445"/>
      <c r="C36" s="1320" t="str">
        <f>F!C64</f>
        <v>&lt;1% of the herbaceous vegetation, or herbaceous vegetation is absent.</v>
      </c>
      <c r="D36" s="844">
        <f>F!D64</f>
        <v>0</v>
      </c>
      <c r="E36" s="619">
        <v>5</v>
      </c>
      <c r="F36" s="619">
        <f t="shared" ref="F36:F39" si="6">D36*E36</f>
        <v>0</v>
      </c>
      <c r="G36" s="845"/>
      <c r="H36" s="2432"/>
      <c r="I36" s="702"/>
      <c r="J36" s="2024"/>
    </row>
    <row r="37" spans="1:10" ht="19.5" customHeight="1" x14ac:dyDescent="0.2">
      <c r="A37" s="2484"/>
      <c r="B37" s="2445"/>
      <c r="C37" s="1320" t="str">
        <f>F!C65</f>
        <v>1-25% of the herbaceous vegetation.</v>
      </c>
      <c r="D37" s="844">
        <f>F!D65</f>
        <v>0</v>
      </c>
      <c r="E37" s="619">
        <v>3</v>
      </c>
      <c r="F37" s="619">
        <f t="shared" si="6"/>
        <v>0</v>
      </c>
      <c r="G37" s="845"/>
      <c r="H37" s="2432"/>
      <c r="I37" s="702"/>
      <c r="J37" s="2024"/>
    </row>
    <row r="38" spans="1:10" ht="19.5" customHeight="1" x14ac:dyDescent="0.2">
      <c r="A38" s="2484"/>
      <c r="B38" s="2445"/>
      <c r="C38" s="1320" t="str">
        <f>F!C66</f>
        <v>25-75% of the herbaceous vegetation.</v>
      </c>
      <c r="D38" s="844">
        <f>F!D66</f>
        <v>0</v>
      </c>
      <c r="E38" s="619">
        <v>2</v>
      </c>
      <c r="F38" s="619">
        <f t="shared" si="6"/>
        <v>0</v>
      </c>
      <c r="G38" s="845"/>
      <c r="H38" s="2432"/>
      <c r="I38" s="702"/>
    </row>
    <row r="39" spans="1:10" ht="24.75" customHeight="1" thickBot="1" x14ac:dyDescent="0.25">
      <c r="A39" s="2485"/>
      <c r="B39" s="2468"/>
      <c r="C39" s="1327" t="str">
        <f>F!C67</f>
        <v>&gt;75%, of the herbaceous vegetation.</v>
      </c>
      <c r="D39" s="846">
        <f>F!D67</f>
        <v>0</v>
      </c>
      <c r="E39" s="509">
        <v>0</v>
      </c>
      <c r="F39" s="509">
        <f t="shared" si="6"/>
        <v>0</v>
      </c>
      <c r="G39" s="847"/>
      <c r="H39" s="2433"/>
      <c r="I39" s="904"/>
    </row>
    <row r="40" spans="1:10" ht="26.25" thickBot="1" x14ac:dyDescent="0.25">
      <c r="A40" s="2495" t="str">
        <f>F!A91</f>
        <v>F14</v>
      </c>
      <c r="B40" s="2444"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v>
      </c>
      <c r="H40" s="2432" t="s">
        <v>8708</v>
      </c>
      <c r="I40" s="702" t="s">
        <v>1613</v>
      </c>
    </row>
    <row r="41" spans="1:10" x14ac:dyDescent="0.2">
      <c r="A41" s="2496"/>
      <c r="B41" s="2445"/>
      <c r="C41" s="1320" t="str">
        <f>F!C92</f>
        <v xml:space="preserve">&lt;5% of the vegetated part of the AA. </v>
      </c>
      <c r="D41" s="844">
        <f>F!D92</f>
        <v>0</v>
      </c>
      <c r="E41" s="619">
        <v>0</v>
      </c>
      <c r="F41" s="619">
        <f t="shared" ref="F41:F45" si="7">D41*E41</f>
        <v>0</v>
      </c>
      <c r="G41" s="845"/>
      <c r="H41" s="2432"/>
      <c r="I41" s="702"/>
    </row>
    <row r="42" spans="1:10" x14ac:dyDescent="0.2">
      <c r="A42" s="2496"/>
      <c r="B42" s="2445"/>
      <c r="C42" s="1320" t="str">
        <f>F!C93</f>
        <v>5-25% of the vegetated part of the AA.</v>
      </c>
      <c r="D42" s="844">
        <f>F!D93</f>
        <v>0</v>
      </c>
      <c r="E42" s="619">
        <v>2</v>
      </c>
      <c r="F42" s="619">
        <f t="shared" si="7"/>
        <v>0</v>
      </c>
      <c r="G42" s="845"/>
      <c r="H42" s="2432"/>
      <c r="I42" s="702"/>
    </row>
    <row r="43" spans="1:10" x14ac:dyDescent="0.2">
      <c r="A43" s="2496"/>
      <c r="B43" s="2445"/>
      <c r="C43" s="1320" t="str">
        <f>F!C94</f>
        <v>25-50% of the vegetated part of the AA.</v>
      </c>
      <c r="D43" s="844">
        <f>F!D94</f>
        <v>0</v>
      </c>
      <c r="E43" s="619">
        <v>3</v>
      </c>
      <c r="F43" s="619">
        <f t="shared" si="7"/>
        <v>0</v>
      </c>
      <c r="G43" s="845"/>
      <c r="H43" s="2432"/>
      <c r="I43" s="702"/>
    </row>
    <row r="44" spans="1:10" x14ac:dyDescent="0.2">
      <c r="A44" s="2496"/>
      <c r="B44" s="2445"/>
      <c r="C44" s="1320" t="str">
        <f>F!C95</f>
        <v>50-95% of the vegetated part of the AA.</v>
      </c>
      <c r="D44" s="844">
        <f>F!D95</f>
        <v>0</v>
      </c>
      <c r="E44" s="619">
        <v>4</v>
      </c>
      <c r="F44" s="619">
        <f t="shared" si="7"/>
        <v>0</v>
      </c>
      <c r="G44" s="845"/>
      <c r="H44" s="2432"/>
      <c r="I44" s="702"/>
    </row>
    <row r="45" spans="1:10" ht="13.5" thickBot="1" x14ac:dyDescent="0.25">
      <c r="A45" s="2497"/>
      <c r="B45" s="2446"/>
      <c r="C45" s="1328" t="str">
        <f>F!C96</f>
        <v>&gt;95% of the vegetated part of the AA.</v>
      </c>
      <c r="D45" s="1244">
        <f>F!D96</f>
        <v>0</v>
      </c>
      <c r="E45" s="621">
        <v>6</v>
      </c>
      <c r="F45" s="619">
        <f t="shared" si="7"/>
        <v>0</v>
      </c>
      <c r="G45" s="848"/>
      <c r="H45" s="2432"/>
      <c r="I45" s="702"/>
    </row>
    <row r="46" spans="1:10" ht="51.75" thickBot="1" x14ac:dyDescent="0.25">
      <c r="A46" s="2483" t="str">
        <f>F!A118</f>
        <v>F19</v>
      </c>
      <c r="B46" s="2467"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v>
      </c>
      <c r="H46" s="2431" t="s">
        <v>8812</v>
      </c>
      <c r="I46" s="2429" t="s">
        <v>1614</v>
      </c>
    </row>
    <row r="47" spans="1:10" ht="15" x14ac:dyDescent="0.2">
      <c r="A47" s="2484"/>
      <c r="B47" s="2445"/>
      <c r="C47" s="1321" t="str">
        <f>F!C119</f>
        <v>None, or &lt;100 sq. m.</v>
      </c>
      <c r="D47" s="844">
        <f>F!D119</f>
        <v>0</v>
      </c>
      <c r="E47" s="619">
        <v>6</v>
      </c>
      <c r="F47" s="619">
        <f t="shared" ref="F47:F51" si="8">D47*E47</f>
        <v>0</v>
      </c>
      <c r="G47" s="845"/>
      <c r="H47" s="2432"/>
      <c r="I47" s="2430"/>
      <c r="J47" s="2024"/>
    </row>
    <row r="48" spans="1:10" ht="15" x14ac:dyDescent="0.2">
      <c r="A48" s="2484"/>
      <c r="B48" s="2445"/>
      <c r="C48" s="1321" t="str">
        <f>F!C120</f>
        <v>100-1000 sq. m.</v>
      </c>
      <c r="D48" s="844">
        <f>F!D120</f>
        <v>0</v>
      </c>
      <c r="E48" s="619">
        <v>4</v>
      </c>
      <c r="F48" s="619">
        <f t="shared" si="8"/>
        <v>0</v>
      </c>
      <c r="G48" s="845"/>
      <c r="H48" s="2432"/>
      <c r="I48" s="2430"/>
      <c r="J48" s="2024"/>
    </row>
    <row r="49" spans="1:10" x14ac:dyDescent="0.2">
      <c r="A49" s="2484"/>
      <c r="B49" s="2445"/>
      <c r="C49" s="1321" t="str">
        <f>F!C121</f>
        <v>1000 – 10,000 sq. m.</v>
      </c>
      <c r="D49" s="844">
        <f>F!D121</f>
        <v>0</v>
      </c>
      <c r="E49" s="619">
        <v>3</v>
      </c>
      <c r="F49" s="619">
        <f t="shared" si="8"/>
        <v>0</v>
      </c>
      <c r="G49" s="845"/>
      <c r="H49" s="2432"/>
      <c r="I49" s="2430"/>
    </row>
    <row r="50" spans="1:10" x14ac:dyDescent="0.2">
      <c r="A50" s="2484"/>
      <c r="B50" s="2445"/>
      <c r="C50" s="1321" t="str">
        <f>F!C122</f>
        <v>10,000 - 100,000 sq. m</v>
      </c>
      <c r="D50" s="844">
        <f>F!D122</f>
        <v>0</v>
      </c>
      <c r="E50" s="619">
        <v>2</v>
      </c>
      <c r="F50" s="619">
        <f t="shared" si="8"/>
        <v>0</v>
      </c>
      <c r="G50" s="845"/>
      <c r="H50" s="2432"/>
      <c r="I50" s="2430"/>
    </row>
    <row r="51" spans="1:10" ht="13.5" thickBot="1" x14ac:dyDescent="0.25">
      <c r="A51" s="2485"/>
      <c r="B51" s="2468"/>
      <c r="C51" s="1330" t="str">
        <f>F!C123</f>
        <v xml:space="preserve">&gt;100,000 sq. m. </v>
      </c>
      <c r="D51" s="846">
        <f>F!D123</f>
        <v>0</v>
      </c>
      <c r="E51" s="509">
        <v>0</v>
      </c>
      <c r="F51" s="509">
        <f t="shared" si="8"/>
        <v>0</v>
      </c>
      <c r="G51" s="847"/>
      <c r="H51" s="2433"/>
      <c r="I51" s="2437"/>
    </row>
    <row r="52" spans="1:10" ht="51.75" thickBot="1" x14ac:dyDescent="0.25">
      <c r="A52" s="2483" t="str">
        <f>F!A124</f>
        <v>F20</v>
      </c>
      <c r="B52" s="2467"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v>
      </c>
      <c r="H52" s="2431" t="s">
        <v>1615</v>
      </c>
      <c r="I52" s="2429" t="s">
        <v>1616</v>
      </c>
    </row>
    <row r="53" spans="1:10" ht="25.5" x14ac:dyDescent="0.2">
      <c r="A53" s="2484"/>
      <c r="B53" s="2445"/>
      <c r="C53" s="1321" t="str">
        <f>F!C125</f>
        <v>Few or none (minimal microtopography; &lt;1% of the land has such features, or entire AA is always water-covered).</v>
      </c>
      <c r="D53" s="844">
        <f>F!D125</f>
        <v>0</v>
      </c>
      <c r="E53" s="619">
        <v>2</v>
      </c>
      <c r="F53" s="619">
        <f t="shared" ref="F53:F55" si="9">D53*E53</f>
        <v>0</v>
      </c>
      <c r="G53" s="845"/>
      <c r="H53" s="2432"/>
      <c r="I53" s="2430"/>
    </row>
    <row r="54" spans="1:10" x14ac:dyDescent="0.2">
      <c r="A54" s="2484"/>
      <c r="B54" s="2445"/>
      <c r="C54" s="1321" t="str">
        <f>F!C126</f>
        <v>Intermediate.</v>
      </c>
      <c r="D54" s="844">
        <f>F!D126</f>
        <v>0</v>
      </c>
      <c r="E54" s="619">
        <v>1</v>
      </c>
      <c r="F54" s="619">
        <f t="shared" si="9"/>
        <v>0</v>
      </c>
      <c r="G54" s="845"/>
      <c r="H54" s="2432"/>
      <c r="I54" s="2430"/>
    </row>
    <row r="55" spans="1:10" ht="13.5" thickBot="1" x14ac:dyDescent="0.25">
      <c r="A55" s="2485"/>
      <c r="B55" s="2468"/>
      <c r="C55" s="1330" t="str">
        <f>F!C127</f>
        <v>Several (extensive micro-topography).</v>
      </c>
      <c r="D55" s="846">
        <f>F!D127</f>
        <v>0</v>
      </c>
      <c r="E55" s="509">
        <v>0</v>
      </c>
      <c r="F55" s="509">
        <f t="shared" si="9"/>
        <v>0</v>
      </c>
      <c r="G55" s="847"/>
      <c r="H55" s="2433"/>
      <c r="I55" s="2437"/>
    </row>
    <row r="56" spans="1:10" ht="26.25" thickBot="1" x14ac:dyDescent="0.25">
      <c r="A56" s="2495" t="str">
        <f>F!A135</f>
        <v>F22</v>
      </c>
      <c r="B56" s="2444"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v>
      </c>
      <c r="H56" s="2432" t="s">
        <v>8827</v>
      </c>
      <c r="I56" s="507" t="s">
        <v>1618</v>
      </c>
    </row>
    <row r="57" spans="1:10" x14ac:dyDescent="0.2">
      <c r="A57" s="2496"/>
      <c r="B57" s="2445"/>
      <c r="C57" s="1321" t="str">
        <f>F!C136</f>
        <v xml:space="preserve">None, or &lt;0.01 hectare and &lt;1% of the AA. </v>
      </c>
      <c r="D57" s="844">
        <f>F!D136</f>
        <v>0</v>
      </c>
      <c r="E57" s="619">
        <v>5</v>
      </c>
      <c r="F57" s="619">
        <f t="shared" ref="F57:F61" si="10">D57*E57</f>
        <v>0</v>
      </c>
      <c r="G57" s="968"/>
      <c r="H57" s="2432"/>
      <c r="I57" s="507"/>
    </row>
    <row r="58" spans="1:10" ht="15" x14ac:dyDescent="0.2">
      <c r="A58" s="2496"/>
      <c r="B58" s="2445"/>
      <c r="C58" s="1321" t="str">
        <f>F!C137</f>
        <v>1-20% of the AA, or &lt;1% but &gt;0.01 ha.</v>
      </c>
      <c r="D58" s="844">
        <f>F!D137</f>
        <v>0</v>
      </c>
      <c r="E58" s="619">
        <v>4</v>
      </c>
      <c r="F58" s="619">
        <f t="shared" si="10"/>
        <v>0</v>
      </c>
      <c r="G58" s="963"/>
      <c r="H58" s="2432"/>
      <c r="I58" s="507"/>
      <c r="J58" s="2024"/>
    </row>
    <row r="59" spans="1:10" x14ac:dyDescent="0.2">
      <c r="A59" s="2496"/>
      <c r="B59" s="2445"/>
      <c r="C59" s="1321" t="str">
        <f>F!C138</f>
        <v>20-50% of the AA.</v>
      </c>
      <c r="D59" s="844">
        <f>F!D138</f>
        <v>0</v>
      </c>
      <c r="E59" s="619">
        <v>3</v>
      </c>
      <c r="F59" s="619">
        <f t="shared" si="10"/>
        <v>0</v>
      </c>
      <c r="G59" s="963"/>
      <c r="H59" s="2432"/>
      <c r="I59" s="507"/>
    </row>
    <row r="60" spans="1:10" x14ac:dyDescent="0.2">
      <c r="A60" s="2496"/>
      <c r="B60" s="2445"/>
      <c r="C60" s="1321" t="str">
        <f>F!C139</f>
        <v>50-95% of the AA.</v>
      </c>
      <c r="D60" s="844">
        <f>F!D139</f>
        <v>0</v>
      </c>
      <c r="E60" s="619">
        <v>2</v>
      </c>
      <c r="F60" s="619">
        <f t="shared" si="10"/>
        <v>0</v>
      </c>
      <c r="G60" s="963"/>
      <c r="H60" s="2432"/>
      <c r="I60" s="507"/>
    </row>
    <row r="61" spans="1:10" ht="13.5" thickBot="1" x14ac:dyDescent="0.25">
      <c r="A61" s="2497"/>
      <c r="B61" s="2446"/>
      <c r="C61" s="1331" t="str">
        <f>F!C140</f>
        <v xml:space="preserve">&gt;95% of the AA. </v>
      </c>
      <c r="D61" s="1244">
        <f>F!D140</f>
        <v>0</v>
      </c>
      <c r="E61" s="621">
        <v>0</v>
      </c>
      <c r="F61" s="619">
        <f t="shared" si="10"/>
        <v>0</v>
      </c>
      <c r="G61" s="966"/>
      <c r="H61" s="2432"/>
      <c r="I61" s="507"/>
    </row>
    <row r="62" spans="1:10" ht="26.25" thickBot="1" x14ac:dyDescent="0.25">
      <c r="A62" s="2483" t="str">
        <f>F!A149</f>
        <v>F24</v>
      </c>
      <c r="B62" s="2467"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431" t="s">
        <v>1619</v>
      </c>
      <c r="I62" s="521" t="s">
        <v>1620</v>
      </c>
    </row>
    <row r="63" spans="1:10" ht="25.5" x14ac:dyDescent="0.2">
      <c r="A63" s="2484"/>
      <c r="B63" s="2445"/>
      <c r="C63" s="1321" t="str">
        <f>F!C150</f>
        <v xml:space="preserve">&lt;1% . In other words, all or nearly all of the AA is covered by water permanently or at least seasonally.  </v>
      </c>
      <c r="D63" s="844">
        <f>F!D150</f>
        <v>0</v>
      </c>
      <c r="E63" s="619">
        <v>2</v>
      </c>
      <c r="F63" s="619">
        <f t="shared" ref="F63:F68" si="11">D63*E63</f>
        <v>0</v>
      </c>
      <c r="G63" s="845"/>
      <c r="H63" s="2432"/>
      <c r="I63" s="507"/>
    </row>
    <row r="64" spans="1:10" x14ac:dyDescent="0.2">
      <c r="A64" s="2484"/>
      <c r="B64" s="2445"/>
      <c r="C64" s="1321" t="str">
        <f>F!C151</f>
        <v>1-25% of the AA,  or &lt;1% but &gt;0.01 ha never contains surface water.</v>
      </c>
      <c r="D64" s="844">
        <f>F!D151</f>
        <v>0</v>
      </c>
      <c r="E64" s="619">
        <v>4</v>
      </c>
      <c r="F64" s="619">
        <f t="shared" si="11"/>
        <v>0</v>
      </c>
      <c r="G64" s="845"/>
      <c r="H64" s="2432"/>
      <c r="I64" s="507"/>
    </row>
    <row r="65" spans="1:10" x14ac:dyDescent="0.2">
      <c r="A65" s="2484"/>
      <c r="B65" s="2445"/>
      <c r="C65" s="1321" t="str">
        <f>F!C152</f>
        <v>25-50% of the AA never contains surface water.</v>
      </c>
      <c r="D65" s="844">
        <f>F!D152</f>
        <v>0</v>
      </c>
      <c r="E65" s="619">
        <v>5</v>
      </c>
      <c r="F65" s="619">
        <f t="shared" si="11"/>
        <v>0</v>
      </c>
      <c r="G65" s="845"/>
      <c r="H65" s="2432"/>
      <c r="I65" s="507"/>
    </row>
    <row r="66" spans="1:10" x14ac:dyDescent="0.2">
      <c r="A66" s="2484"/>
      <c r="B66" s="2445"/>
      <c r="C66" s="1321" t="str">
        <f>F!C153</f>
        <v>50-75% of the AA never contains surface water.</v>
      </c>
      <c r="D66" s="844">
        <f>F!D153</f>
        <v>0</v>
      </c>
      <c r="E66" s="619">
        <v>6</v>
      </c>
      <c r="F66" s="619">
        <f t="shared" si="11"/>
        <v>0</v>
      </c>
      <c r="G66" s="845"/>
      <c r="H66" s="2432"/>
      <c r="I66" s="507"/>
    </row>
    <row r="67" spans="1:10" ht="25.5" x14ac:dyDescent="0.2">
      <c r="A67" s="2484"/>
      <c r="B67" s="2445"/>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32"/>
      <c r="I67" s="507"/>
    </row>
    <row r="68" spans="1:10" ht="26.25" thickBot="1" x14ac:dyDescent="0.25">
      <c r="A68" s="2485"/>
      <c r="B68" s="2468"/>
      <c r="C68" s="1330" t="str">
        <f>F!C155</f>
        <v>&gt; 99%. AND during most years there is never more than 0.1 ha of ponded surface water within the AA. Enter "1" and SKIP to F43 (Channel Connection).</v>
      </c>
      <c r="D68" s="846">
        <f>F!D155</f>
        <v>0</v>
      </c>
      <c r="E68" s="509">
        <v>0</v>
      </c>
      <c r="F68" s="509">
        <f t="shared" si="11"/>
        <v>0</v>
      </c>
      <c r="G68" s="847"/>
      <c r="H68" s="2433"/>
      <c r="I68" s="519"/>
    </row>
    <row r="69" spans="1:10" ht="26.25" thickBot="1" x14ac:dyDescent="0.25">
      <c r="A69" s="2501" t="s">
        <v>430</v>
      </c>
      <c r="B69" s="2444"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v>
      </c>
      <c r="H69" s="2432" t="s">
        <v>9108</v>
      </c>
      <c r="I69" s="2429" t="s">
        <v>1621</v>
      </c>
    </row>
    <row r="70" spans="1:10" x14ac:dyDescent="0.2">
      <c r="A70" s="2501"/>
      <c r="B70" s="2445"/>
      <c r="C70" s="1321" t="str">
        <f>F!C159</f>
        <v>&lt;5% of the water is shaded, or no surface water is present then.</v>
      </c>
      <c r="D70" s="844">
        <f>F!D159</f>
        <v>0</v>
      </c>
      <c r="E70" s="619">
        <v>0</v>
      </c>
      <c r="F70" s="619">
        <f t="shared" ref="F70:F74" si="12">D70*E70</f>
        <v>0</v>
      </c>
      <c r="G70" s="843"/>
      <c r="H70" s="2432"/>
      <c r="I70" s="2430"/>
    </row>
    <row r="71" spans="1:10" x14ac:dyDescent="0.2">
      <c r="A71" s="2501"/>
      <c r="B71" s="2445"/>
      <c r="C71" s="1321" t="str">
        <f>F!C160</f>
        <v>5-25% of the water is shaded.</v>
      </c>
      <c r="D71" s="844">
        <f>F!D160</f>
        <v>0</v>
      </c>
      <c r="E71" s="619">
        <v>2</v>
      </c>
      <c r="F71" s="619">
        <f t="shared" si="12"/>
        <v>0</v>
      </c>
      <c r="G71" s="845"/>
      <c r="H71" s="2432"/>
      <c r="I71" s="2430"/>
    </row>
    <row r="72" spans="1:10" x14ac:dyDescent="0.2">
      <c r="A72" s="2501"/>
      <c r="B72" s="2445"/>
      <c r="C72" s="1321" t="str">
        <f>F!C161</f>
        <v>25-50% of the water is shaded.</v>
      </c>
      <c r="D72" s="844">
        <f>F!D161</f>
        <v>0</v>
      </c>
      <c r="E72" s="619">
        <v>3</v>
      </c>
      <c r="F72" s="619">
        <f t="shared" si="12"/>
        <v>0</v>
      </c>
      <c r="G72" s="845"/>
      <c r="H72" s="2432"/>
      <c r="I72" s="2430"/>
    </row>
    <row r="73" spans="1:10" x14ac:dyDescent="0.2">
      <c r="A73" s="2501"/>
      <c r="B73" s="2445"/>
      <c r="C73" s="1321" t="str">
        <f>F!C162</f>
        <v>50-75% of the water is shaded.</v>
      </c>
      <c r="D73" s="844">
        <f>F!D162</f>
        <v>0</v>
      </c>
      <c r="E73" s="619">
        <v>4</v>
      </c>
      <c r="F73" s="619">
        <f t="shared" si="12"/>
        <v>0</v>
      </c>
      <c r="G73" s="845"/>
      <c r="H73" s="2432"/>
      <c r="I73" s="2430"/>
    </row>
    <row r="74" spans="1:10" ht="13.5" thickBot="1" x14ac:dyDescent="0.25">
      <c r="A74" s="2501"/>
      <c r="B74" s="2446"/>
      <c r="C74" s="1331" t="str">
        <f>F!C163</f>
        <v>&gt;75% of the water is shaded.</v>
      </c>
      <c r="D74" s="1244">
        <f>F!D163</f>
        <v>0</v>
      </c>
      <c r="E74" s="621">
        <v>5</v>
      </c>
      <c r="F74" s="619">
        <f t="shared" si="12"/>
        <v>0</v>
      </c>
      <c r="G74" s="848"/>
      <c r="H74" s="2432"/>
      <c r="I74" s="2437"/>
    </row>
    <row r="75" spans="1:10" ht="40.5" customHeight="1" thickBot="1" x14ac:dyDescent="0.25">
      <c r="A75" s="2459" t="str">
        <f>F!A168</f>
        <v>F28</v>
      </c>
      <c r="B75" s="2467" t="s">
        <v>1622</v>
      </c>
      <c r="C75" s="1329" t="str">
        <f>F!C168</f>
        <v>The annual fluctuation in surface water level within most of the parts of the AA that contain surface water at least temporarily is:</v>
      </c>
      <c r="D75" s="839"/>
      <c r="E75" s="510"/>
      <c r="F75" s="936"/>
      <c r="G75" s="623">
        <f>IF((AllSat=1),"",MAX(F76:F80)/MAX(E76:E80))</f>
        <v>0</v>
      </c>
      <c r="H75" s="2431" t="s">
        <v>8828</v>
      </c>
      <c r="I75" s="507" t="s">
        <v>1623</v>
      </c>
      <c r="J75" s="2024"/>
    </row>
    <row r="76" spans="1:10" x14ac:dyDescent="0.2">
      <c r="A76" s="2460"/>
      <c r="B76" s="2445"/>
      <c r="C76" s="1321" t="str">
        <f>F!C169</f>
        <v>&lt;10 cm change (stable or nearly so).</v>
      </c>
      <c r="D76" s="844">
        <f>F!D169</f>
        <v>0</v>
      </c>
      <c r="E76" s="619">
        <v>6</v>
      </c>
      <c r="F76" s="619">
        <f t="shared" ref="F76:F80" si="13">D76*E76</f>
        <v>0</v>
      </c>
      <c r="G76" s="968"/>
      <c r="H76" s="2432"/>
      <c r="I76" s="507"/>
    </row>
    <row r="77" spans="1:10" x14ac:dyDescent="0.2">
      <c r="A77" s="2460"/>
      <c r="B77" s="2445"/>
      <c r="C77" s="1321" t="str">
        <f>F!C170</f>
        <v>10 cm - 50 cm change.</v>
      </c>
      <c r="D77" s="844">
        <f>F!D170</f>
        <v>0</v>
      </c>
      <c r="E77" s="619">
        <v>4</v>
      </c>
      <c r="F77" s="619">
        <f t="shared" si="13"/>
        <v>0</v>
      </c>
      <c r="G77" s="963"/>
      <c r="H77" s="2432"/>
      <c r="I77" s="507"/>
    </row>
    <row r="78" spans="1:10" x14ac:dyDescent="0.2">
      <c r="A78" s="2460"/>
      <c r="B78" s="2445"/>
      <c r="C78" s="1321" t="str">
        <f>F!C171</f>
        <v>0.5 - 1 m change.</v>
      </c>
      <c r="D78" s="1242">
        <f>F!D171</f>
        <v>0</v>
      </c>
      <c r="E78" s="619">
        <v>3</v>
      </c>
      <c r="F78" s="619">
        <f t="shared" si="13"/>
        <v>0</v>
      </c>
      <c r="G78" s="963"/>
      <c r="H78" s="2432"/>
      <c r="I78" s="507"/>
    </row>
    <row r="79" spans="1:10" x14ac:dyDescent="0.2">
      <c r="A79" s="2460"/>
      <c r="B79" s="2445"/>
      <c r="C79" s="1321" t="str">
        <f>F!C172</f>
        <v>1-2 m change.</v>
      </c>
      <c r="D79" s="844">
        <f>F!D172</f>
        <v>0</v>
      </c>
      <c r="E79" s="619">
        <v>2</v>
      </c>
      <c r="F79" s="619">
        <f t="shared" si="13"/>
        <v>0</v>
      </c>
      <c r="G79" s="963"/>
      <c r="H79" s="2432"/>
      <c r="I79" s="2430"/>
    </row>
    <row r="80" spans="1:10" ht="13.5" thickBot="1" x14ac:dyDescent="0.25">
      <c r="A80" s="2461"/>
      <c r="B80" s="2468"/>
      <c r="C80" s="1330" t="str">
        <f>F!C173</f>
        <v>&gt;2 m change.</v>
      </c>
      <c r="D80" s="846">
        <f>F!D173</f>
        <v>0</v>
      </c>
      <c r="E80" s="509">
        <v>0</v>
      </c>
      <c r="F80" s="619">
        <f t="shared" si="13"/>
        <v>0</v>
      </c>
      <c r="G80" s="961"/>
      <c r="H80" s="2433"/>
      <c r="I80" s="2437"/>
    </row>
    <row r="81" spans="1:9" ht="26.25" thickBot="1" x14ac:dyDescent="0.25">
      <c r="A81" s="2483" t="str">
        <f>F!A187</f>
        <v>F31</v>
      </c>
      <c r="B81" s="2467"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v>
      </c>
      <c r="H81" s="2431" t="s">
        <v>8709</v>
      </c>
      <c r="I81" s="521" t="s">
        <v>1625</v>
      </c>
    </row>
    <row r="82" spans="1:9" ht="25.5" x14ac:dyDescent="0.2">
      <c r="A82" s="2484"/>
      <c r="B82" s="2445"/>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32"/>
      <c r="I82" s="507"/>
    </row>
    <row r="83" spans="1:9" x14ac:dyDescent="0.2">
      <c r="A83" s="2484"/>
      <c r="B83" s="2445"/>
      <c r="C83" s="1322" t="str">
        <f>F!C189</f>
        <v>5-30% of the water.</v>
      </c>
      <c r="D83" s="932">
        <f>F!D189</f>
        <v>0</v>
      </c>
      <c r="E83" s="619">
        <v>3</v>
      </c>
      <c r="F83" s="619">
        <f t="shared" si="14"/>
        <v>0</v>
      </c>
      <c r="G83" s="963"/>
      <c r="H83" s="2432"/>
      <c r="I83" s="507"/>
    </row>
    <row r="84" spans="1:9" x14ac:dyDescent="0.2">
      <c r="A84" s="2484"/>
      <c r="B84" s="2445"/>
      <c r="C84" s="1322" t="str">
        <f>F!C190</f>
        <v>30-70% of the water.</v>
      </c>
      <c r="D84" s="932">
        <f>F!D190</f>
        <v>0</v>
      </c>
      <c r="E84" s="619">
        <v>2</v>
      </c>
      <c r="F84" s="619">
        <f t="shared" si="14"/>
        <v>0</v>
      </c>
      <c r="G84" s="963"/>
      <c r="H84" s="2432"/>
      <c r="I84" s="507"/>
    </row>
    <row r="85" spans="1:9" x14ac:dyDescent="0.2">
      <c r="A85" s="2484"/>
      <c r="B85" s="2445"/>
      <c r="C85" s="1322" t="str">
        <f>F!C191</f>
        <v>70-95% of the water.</v>
      </c>
      <c r="D85" s="932">
        <f>F!D191</f>
        <v>0</v>
      </c>
      <c r="E85" s="619">
        <v>1</v>
      </c>
      <c r="F85" s="619">
        <f t="shared" si="14"/>
        <v>0</v>
      </c>
      <c r="G85" s="963"/>
      <c r="H85" s="2432"/>
      <c r="I85" s="507"/>
    </row>
    <row r="86" spans="1:9" ht="13.5" thickBot="1" x14ac:dyDescent="0.25">
      <c r="A86" s="2485"/>
      <c r="B86" s="2468"/>
      <c r="C86" s="1473" t="str">
        <f>F!C192</f>
        <v>&gt;95% of the water. Includes but not limited to wetlands with no outlets (F42).</v>
      </c>
      <c r="D86" s="933">
        <f>F!D192</f>
        <v>0</v>
      </c>
      <c r="E86" s="621">
        <v>0</v>
      </c>
      <c r="F86" s="621">
        <f t="shared" si="14"/>
        <v>0</v>
      </c>
      <c r="G86" s="966"/>
      <c r="H86" s="2433"/>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8710</v>
      </c>
      <c r="I87" s="507" t="s">
        <v>1698</v>
      </c>
    </row>
    <row r="88" spans="1:9" ht="64.5" thickBot="1" x14ac:dyDescent="0.25">
      <c r="A88" s="2483" t="str">
        <f>F!A232</f>
        <v>F43</v>
      </c>
      <c r="B88" s="2467"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31" t="s">
        <v>8721</v>
      </c>
      <c r="I88" s="521" t="s">
        <v>1626</v>
      </c>
    </row>
    <row r="89" spans="1:9" x14ac:dyDescent="0.2">
      <c r="A89" s="2484"/>
      <c r="B89" s="2445"/>
      <c r="C89" s="1320" t="str">
        <f>F!C233</f>
        <v>Persistent (surface water flows out for &gt;9 months/year).</v>
      </c>
      <c r="D89" s="1242">
        <f>F!D233</f>
        <v>0</v>
      </c>
      <c r="E89" s="619">
        <v>0</v>
      </c>
      <c r="F89" s="619">
        <f t="shared" ref="F89:F97" si="15">D89*E89</f>
        <v>0</v>
      </c>
      <c r="G89" s="963"/>
      <c r="H89" s="2432"/>
      <c r="I89" s="507"/>
    </row>
    <row r="90" spans="1:9" x14ac:dyDescent="0.2">
      <c r="A90" s="2484"/>
      <c r="B90" s="2445"/>
      <c r="C90" s="1320" t="str">
        <f>F!C234</f>
        <v>Seasonal (surface water flows out for 14 days to 9 months/year, not necessarily consecutive).</v>
      </c>
      <c r="D90" s="1242">
        <f>F!D234</f>
        <v>0</v>
      </c>
      <c r="E90" s="619">
        <v>1</v>
      </c>
      <c r="F90" s="619">
        <f t="shared" si="15"/>
        <v>0</v>
      </c>
      <c r="G90" s="963"/>
      <c r="H90" s="2432"/>
      <c r="I90" s="507"/>
    </row>
    <row r="91" spans="1:9" x14ac:dyDescent="0.2">
      <c r="A91" s="2484"/>
      <c r="B91" s="2445"/>
      <c r="C91" s="1320" t="str">
        <f>F!C235</f>
        <v>Temporary (surface water flows out for &lt;14 days, not necessarily consecutive).</v>
      </c>
      <c r="D91" s="1242">
        <f>F!D235</f>
        <v>0</v>
      </c>
      <c r="E91" s="619">
        <v>2</v>
      </c>
      <c r="F91" s="619">
        <f t="shared" si="15"/>
        <v>0</v>
      </c>
      <c r="G91" s="963"/>
      <c r="H91" s="2432"/>
      <c r="I91" s="507"/>
    </row>
    <row r="92" spans="1:9" ht="44.25" customHeight="1" x14ac:dyDescent="0.2">
      <c r="A92" s="2484"/>
      <c r="B92" s="2445"/>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32"/>
      <c r="I92" s="507"/>
    </row>
    <row r="93" spans="1:9" ht="30.75" customHeight="1" thickBot="1" x14ac:dyDescent="0.25">
      <c r="A93" s="2503"/>
      <c r="B93" s="2446"/>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32"/>
      <c r="I93" s="507"/>
    </row>
    <row r="94" spans="1:9" ht="30.75" customHeight="1" thickBot="1" x14ac:dyDescent="0.25">
      <c r="A94" s="1985" t="s">
        <v>532</v>
      </c>
      <c r="B94" s="2438"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31" t="s">
        <v>1524</v>
      </c>
      <c r="I94" s="521" t="s">
        <v>8699</v>
      </c>
    </row>
    <row r="95" spans="1:9" ht="40.5" customHeight="1" x14ac:dyDescent="0.2">
      <c r="A95" s="1986"/>
      <c r="B95" s="2439"/>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32"/>
      <c r="I95" s="507"/>
    </row>
    <row r="96" spans="1:9" ht="30.75" customHeight="1" x14ac:dyDescent="0.2">
      <c r="A96" s="1986"/>
      <c r="B96" s="2439"/>
      <c r="C96" s="1233" t="str">
        <f>F!C241</f>
        <v>Leaves through natural exits (channels or diffuse outflow), not mainly through artificial or temporary features.</v>
      </c>
      <c r="D96" s="844">
        <f>F!D241</f>
        <v>0</v>
      </c>
      <c r="E96" s="619">
        <v>2</v>
      </c>
      <c r="F96" s="619">
        <f t="shared" si="15"/>
        <v>0</v>
      </c>
      <c r="G96" s="963"/>
      <c r="H96" s="2432"/>
      <c r="I96" s="507"/>
    </row>
    <row r="97" spans="1:10" ht="30.75" customHeight="1" thickBot="1" x14ac:dyDescent="0.25">
      <c r="A97" s="1987"/>
      <c r="B97" s="2440"/>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33"/>
      <c r="I97" s="519"/>
    </row>
    <row r="98" spans="1:10" ht="20.25" customHeight="1" thickBot="1" x14ac:dyDescent="0.25">
      <c r="A98" s="2504" t="str">
        <f>F!A251</f>
        <v>F47</v>
      </c>
      <c r="B98" s="2444" t="str">
        <f>F!B251</f>
        <v>Beaver Probability [SFTS, CC, APP, FA, FR, AM, WBF, WBN, RSB, KMH, PH, Sens]</v>
      </c>
      <c r="C98" s="505" t="str">
        <f>F!C251</f>
        <v>Use of the AA by beaver during the past 5 years is (select most applicable ONE):</v>
      </c>
      <c r="D98" s="1317"/>
      <c r="E98" s="508"/>
      <c r="F98" s="622"/>
      <c r="G98" s="969">
        <f>MAX(F99:F101)/MAX(E99:E101)</f>
        <v>0</v>
      </c>
      <c r="H98" s="2432" t="s">
        <v>8818</v>
      </c>
      <c r="I98" s="507" t="s">
        <v>1627</v>
      </c>
      <c r="J98" s="2024"/>
    </row>
    <row r="99" spans="1:10" ht="25.5" x14ac:dyDescent="0.2">
      <c r="A99" s="2484"/>
      <c r="B99" s="2445"/>
      <c r="C99" s="1320" t="str">
        <f>F!C252</f>
        <v>Evident from direct observation or presence of gnawed limbs, dams, tracks, dens, lodges, or extensive stands of water-killed trees (snags).</v>
      </c>
      <c r="D99" s="844">
        <f>F!D252</f>
        <v>0</v>
      </c>
      <c r="E99" s="619">
        <v>0</v>
      </c>
      <c r="F99" s="619">
        <f t="shared" ref="F99:F118" si="16">D99*E99</f>
        <v>0</v>
      </c>
      <c r="G99" s="968"/>
      <c r="H99" s="2432"/>
      <c r="I99" s="507"/>
      <c r="J99" s="2034"/>
    </row>
    <row r="100" spans="1:10" ht="51" x14ac:dyDescent="0.2">
      <c r="A100" s="2484"/>
      <c r="B100" s="2445"/>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 t="shared" si="16"/>
        <v>0</v>
      </c>
      <c r="G100" s="963"/>
      <c r="H100" s="2432"/>
      <c r="I100" s="507"/>
      <c r="J100" s="2024"/>
    </row>
    <row r="101" spans="1:10" ht="26.25" thickBot="1" x14ac:dyDescent="0.25">
      <c r="A101" s="2503"/>
      <c r="B101" s="2446"/>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32"/>
      <c r="I101" s="507"/>
    </row>
    <row r="102" spans="1:10" ht="18.75" customHeight="1" thickBot="1" x14ac:dyDescent="0.25">
      <c r="A102" s="2459" t="str">
        <f>F!A260</f>
        <v>F49</v>
      </c>
      <c r="B102" s="2438" t="str">
        <f>F!B260</f>
        <v>Internal Gradient [WS, SR, PR, NR, OE, WBF, WBN]</v>
      </c>
      <c r="C102" s="938" t="str">
        <f>F!C260</f>
        <v>The gradient along most of the flow path within the AA is:</v>
      </c>
      <c r="D102" s="839"/>
      <c r="E102" s="510"/>
      <c r="F102" s="936"/>
      <c r="G102" s="960">
        <f>MAX(F103:F106)/MAX(E103:E106)</f>
        <v>0</v>
      </c>
      <c r="H102" s="2431" t="s">
        <v>8711</v>
      </c>
      <c r="I102" s="2429" t="s">
        <v>8701</v>
      </c>
    </row>
    <row r="103" spans="1:10" ht="20.25" customHeight="1" x14ac:dyDescent="0.2">
      <c r="A103" s="2460"/>
      <c r="B103" s="2439"/>
      <c r="C103" s="1233" t="str">
        <f>F!C261</f>
        <v>&lt;2% or the AA has no surface water outlet (not even seasonally).</v>
      </c>
      <c r="D103" s="844">
        <f>F!D261</f>
        <v>0</v>
      </c>
      <c r="E103" s="619">
        <v>4</v>
      </c>
      <c r="F103" s="619">
        <f t="shared" si="16"/>
        <v>0</v>
      </c>
      <c r="G103" s="968"/>
      <c r="H103" s="2432"/>
      <c r="I103" s="2430"/>
    </row>
    <row r="104" spans="1:10" x14ac:dyDescent="0.2">
      <c r="A104" s="2460"/>
      <c r="B104" s="2439"/>
      <c r="C104" s="1233" t="str">
        <f>F!C262</f>
        <v>2-5%.</v>
      </c>
      <c r="D104" s="844">
        <f>F!D262</f>
        <v>0</v>
      </c>
      <c r="E104" s="619">
        <v>2</v>
      </c>
      <c r="F104" s="619">
        <f t="shared" si="16"/>
        <v>0</v>
      </c>
      <c r="G104" s="963"/>
      <c r="H104" s="2432"/>
      <c r="I104" s="2430"/>
    </row>
    <row r="105" spans="1:10" ht="18" customHeight="1" x14ac:dyDescent="0.2">
      <c r="A105" s="2460"/>
      <c r="B105" s="2439"/>
      <c r="C105" s="1233" t="str">
        <f>F!C263</f>
        <v>6-10%.</v>
      </c>
      <c r="D105" s="844">
        <f>F!D263</f>
        <v>0</v>
      </c>
      <c r="E105" s="619">
        <v>1</v>
      </c>
      <c r="F105" s="619">
        <f t="shared" si="16"/>
        <v>0</v>
      </c>
      <c r="G105" s="963"/>
      <c r="H105" s="2432"/>
      <c r="I105" s="2430"/>
    </row>
    <row r="106" spans="1:10" ht="13.5" thickBot="1" x14ac:dyDescent="0.25">
      <c r="A106" s="2461"/>
      <c r="B106" s="2440"/>
      <c r="C106" s="1235" t="str">
        <f>F!C264</f>
        <v>&gt;10%.</v>
      </c>
      <c r="D106" s="846">
        <f>F!D264</f>
        <v>0</v>
      </c>
      <c r="E106" s="509">
        <v>0</v>
      </c>
      <c r="F106" s="509">
        <f t="shared" si="16"/>
        <v>0</v>
      </c>
      <c r="G106" s="961"/>
      <c r="H106" s="2433"/>
      <c r="I106" s="2437"/>
    </row>
    <row r="107" spans="1:10" ht="45" customHeight="1" thickBot="1" x14ac:dyDescent="0.25">
      <c r="A107" s="2459" t="str">
        <f>F!A266</f>
        <v>F50</v>
      </c>
      <c r="B107" s="2438"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v>
      </c>
      <c r="H107" s="2431" t="s">
        <v>9109</v>
      </c>
      <c r="I107" s="2429" t="s">
        <v>8700</v>
      </c>
    </row>
    <row r="108" spans="1:10" x14ac:dyDescent="0.2">
      <c r="A108" s="2460"/>
      <c r="B108" s="2439"/>
      <c r="C108" s="1233" t="str">
        <f>F!C267</f>
        <v>&lt;5%.</v>
      </c>
      <c r="D108" s="844">
        <f>F!D267</f>
        <v>0</v>
      </c>
      <c r="E108" s="619">
        <v>0</v>
      </c>
      <c r="F108" s="619">
        <f t="shared" si="16"/>
        <v>0</v>
      </c>
      <c r="G108" s="968"/>
      <c r="H108" s="2432"/>
      <c r="I108" s="2430"/>
    </row>
    <row r="109" spans="1:10" x14ac:dyDescent="0.2">
      <c r="A109" s="2460"/>
      <c r="B109" s="2439"/>
      <c r="C109" s="1233" t="str">
        <f>F!C268</f>
        <v>5 to &lt;30%.</v>
      </c>
      <c r="D109" s="844">
        <f>F!D268</f>
        <v>0</v>
      </c>
      <c r="E109" s="619">
        <v>1</v>
      </c>
      <c r="F109" s="619">
        <f t="shared" si="16"/>
        <v>0</v>
      </c>
      <c r="G109" s="963"/>
      <c r="H109" s="2432"/>
      <c r="I109" s="2430"/>
    </row>
    <row r="110" spans="1:10" x14ac:dyDescent="0.2">
      <c r="A110" s="2460"/>
      <c r="B110" s="2439"/>
      <c r="C110" s="1233" t="str">
        <f>F!C269</f>
        <v>30 to &lt;60%.</v>
      </c>
      <c r="D110" s="844">
        <f>F!D269</f>
        <v>0</v>
      </c>
      <c r="E110" s="619">
        <v>2</v>
      </c>
      <c r="F110" s="619">
        <f t="shared" si="16"/>
        <v>0</v>
      </c>
      <c r="G110" s="963"/>
      <c r="H110" s="2432"/>
      <c r="I110" s="2430"/>
    </row>
    <row r="111" spans="1:10" x14ac:dyDescent="0.2">
      <c r="A111" s="2460"/>
      <c r="B111" s="2439"/>
      <c r="C111" s="1233" t="str">
        <f>F!C270</f>
        <v>60 to 90%.</v>
      </c>
      <c r="D111" s="844">
        <f>F!D270</f>
        <v>0</v>
      </c>
      <c r="E111" s="619">
        <v>3</v>
      </c>
      <c r="F111" s="619">
        <f t="shared" si="16"/>
        <v>0</v>
      </c>
      <c r="G111" s="963"/>
      <c r="H111" s="2432"/>
      <c r="I111" s="2430"/>
    </row>
    <row r="112" spans="1:10" ht="13.5" thickBot="1" x14ac:dyDescent="0.25">
      <c r="A112" s="2461"/>
      <c r="B112" s="2440"/>
      <c r="C112" s="1235" t="str">
        <f>F!C271</f>
        <v>&gt;90%, or all the area within 30 m of the AA edge is other wetlands. SKIP to F53.</v>
      </c>
      <c r="D112" s="846">
        <f>F!D271</f>
        <v>0</v>
      </c>
      <c r="E112" s="509">
        <v>5</v>
      </c>
      <c r="F112" s="509">
        <f t="shared" si="16"/>
        <v>0</v>
      </c>
      <c r="G112" s="961"/>
      <c r="H112" s="2433"/>
      <c r="I112" s="2437"/>
    </row>
    <row r="113" spans="1:10" ht="50.25" customHeight="1" thickBot="1" x14ac:dyDescent="0.25">
      <c r="A113" s="2495" t="str">
        <f>F!A286</f>
        <v>F54</v>
      </c>
      <c r="B113" s="2444"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v>
      </c>
      <c r="H113" s="2498" t="s">
        <v>8823</v>
      </c>
      <c r="I113" s="2430" t="s">
        <v>1628</v>
      </c>
    </row>
    <row r="114" spans="1:10" ht="40.5" customHeight="1" x14ac:dyDescent="0.2">
      <c r="A114" s="2496"/>
      <c r="B114" s="2445"/>
      <c r="C114" s="1320" t="str">
        <f>F!C287</f>
        <v>No. Also mark this if site was once tidal but within the past decade was converted to non-tidal by dyking.</v>
      </c>
      <c r="D114" s="844">
        <f>F!D287</f>
        <v>0</v>
      </c>
      <c r="E114" s="619">
        <v>4</v>
      </c>
      <c r="F114" s="619">
        <f t="shared" si="16"/>
        <v>0</v>
      </c>
      <c r="G114" s="963"/>
      <c r="H114" s="2499"/>
      <c r="I114" s="2430"/>
      <c r="J114" s="2024"/>
    </row>
    <row r="115" spans="1:10" ht="33" customHeight="1" x14ac:dyDescent="0.2">
      <c r="A115" s="2496"/>
      <c r="B115" s="2445"/>
      <c r="C115" s="1320" t="str">
        <f>F!C288</f>
        <v xml:space="preserve">Yes, and created or expanded 20 - 100 years ago. </v>
      </c>
      <c r="D115" s="844">
        <f>F!D288</f>
        <v>0</v>
      </c>
      <c r="E115" s="619">
        <v>2</v>
      </c>
      <c r="F115" s="619">
        <f t="shared" si="16"/>
        <v>0</v>
      </c>
      <c r="G115" s="963"/>
      <c r="H115" s="2499"/>
      <c r="I115" s="2430"/>
      <c r="J115" s="2024"/>
    </row>
    <row r="116" spans="1:10" ht="36" customHeight="1" x14ac:dyDescent="0.2">
      <c r="A116" s="2496"/>
      <c r="B116" s="2445"/>
      <c r="C116" s="1320" t="str">
        <f>F!C289</f>
        <v>Yes, and created or expanded 3-20 years ago.</v>
      </c>
      <c r="D116" s="844">
        <f>F!D289</f>
        <v>0</v>
      </c>
      <c r="E116" s="619">
        <v>1</v>
      </c>
      <c r="F116" s="619">
        <f t="shared" si="16"/>
        <v>0</v>
      </c>
      <c r="G116" s="963"/>
      <c r="H116" s="2499"/>
      <c r="I116" s="2430"/>
      <c r="J116" s="2024"/>
    </row>
    <row r="117" spans="1:10" ht="33" customHeight="1" x14ac:dyDescent="0.2">
      <c r="A117" s="2496"/>
      <c r="B117" s="2445"/>
      <c r="C117" s="1320" t="str">
        <f>F!C290</f>
        <v>Yes, and created or expanded within last 3 years.</v>
      </c>
      <c r="D117" s="844">
        <f>F!D290</f>
        <v>0</v>
      </c>
      <c r="E117" s="619">
        <v>0</v>
      </c>
      <c r="F117" s="619">
        <f t="shared" si="16"/>
        <v>0</v>
      </c>
      <c r="G117" s="963"/>
      <c r="H117" s="2499"/>
      <c r="I117" s="2430"/>
      <c r="J117" s="2023"/>
    </row>
    <row r="118" spans="1:10" ht="31.5" customHeight="1" thickBot="1" x14ac:dyDescent="0.25">
      <c r="A118" s="2497"/>
      <c r="B118" s="2446"/>
      <c r="C118" s="1328" t="str">
        <f>F!C291</f>
        <v>Yes, but time of origin or expansion unknown.</v>
      </c>
      <c r="D118" s="1244">
        <f>F!D291</f>
        <v>0</v>
      </c>
      <c r="E118" s="621">
        <v>1</v>
      </c>
      <c r="F118" s="619">
        <f t="shared" si="16"/>
        <v>0</v>
      </c>
      <c r="G118" s="966"/>
      <c r="H118" s="2499"/>
      <c r="I118" s="2437"/>
      <c r="J118" s="2024"/>
    </row>
    <row r="119" spans="1:10" ht="18.75" customHeight="1" thickBot="1" x14ac:dyDescent="0.25">
      <c r="A119" s="2483" t="str">
        <f>F!A337</f>
        <v>F65</v>
      </c>
      <c r="B119" s="2467" t="str">
        <f>F!B337</f>
        <v>pH Measurement [PR, NR, CSP, APP, FA, FR, AM, WBN, Sens]</v>
      </c>
      <c r="C119" s="1324" t="str">
        <f>F!C337</f>
        <v>The pH in most of the AA's surface water:</v>
      </c>
      <c r="D119" s="973"/>
      <c r="E119" s="510"/>
      <c r="F119" s="510"/>
      <c r="G119" s="1874">
        <f>IF((D122=1),"",IF((D121=1),0.5,IF((D120=""),"",IF((D120&gt;7.5),1,IF((D120&lt;=6),0.5,0)))))</f>
        <v>0.5</v>
      </c>
      <c r="H119" s="2431" t="s">
        <v>8738</v>
      </c>
      <c r="I119" s="521" t="s">
        <v>1629</v>
      </c>
      <c r="J119" s="2024"/>
    </row>
    <row r="120" spans="1:10" ht="15.75" thickBot="1" x14ac:dyDescent="0.25">
      <c r="A120" s="2484"/>
      <c r="B120" s="2445"/>
      <c r="C120" s="505" t="str">
        <f>F!C338</f>
        <v>Was measured, and is:  [enter the reading in the column to the right.]</v>
      </c>
      <c r="D120" s="1822" t="str">
        <f>IF((F!D338=""),"",F!D338)</f>
        <v/>
      </c>
      <c r="E120" s="511"/>
      <c r="F120" s="619"/>
      <c r="G120" s="845"/>
      <c r="H120" s="2432"/>
      <c r="I120" s="507"/>
      <c r="J120" s="2024"/>
    </row>
    <row r="121" spans="1:10" ht="28.5" customHeight="1" x14ac:dyDescent="0.2">
      <c r="A121" s="2484"/>
      <c r="B121" s="2445"/>
      <c r="C121" s="1323" t="str">
        <f>F!C339</f>
        <v xml:space="preserve">Was not measured but surface water is present and is darkly tea-coloured.  Or if no surface water, then mosses and plants that indicate peatland (e.g., Labrador tea) are prevalent. Enter "1". </v>
      </c>
      <c r="D121" s="933">
        <f>F!D339</f>
        <v>1</v>
      </c>
      <c r="E121" s="619"/>
      <c r="F121" s="619"/>
      <c r="G121" s="845"/>
      <c r="H121" s="2432"/>
      <c r="I121" s="507"/>
    </row>
    <row r="122" spans="1:10" ht="13.5" thickBot="1" x14ac:dyDescent="0.25">
      <c r="A122" s="2485"/>
      <c r="B122" s="2468"/>
      <c r="C122" s="994" t="str">
        <f>F!C340</f>
        <v>Neither of above. Enter "1".</v>
      </c>
      <c r="D122" s="846">
        <f>F!D340</f>
        <v>0</v>
      </c>
      <c r="E122" s="509"/>
      <c r="F122" s="509"/>
      <c r="G122" s="847"/>
      <c r="H122" s="2433"/>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t="str">
        <f>IF((F!D344=""),"",F!D344)</f>
        <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86" t="s">
        <v>1053</v>
      </c>
      <c r="D126" s="2488" t="s">
        <v>8689</v>
      </c>
      <c r="E126" s="2489"/>
      <c r="F126" s="2489"/>
      <c r="G126" s="1464" t="e">
        <f>APP!G156/10</f>
        <v>#VALUE!</v>
      </c>
      <c r="H126" s="1993" t="s">
        <v>1924</v>
      </c>
      <c r="I126" s="1969" t="s">
        <v>1631</v>
      </c>
      <c r="J126" s="2035" t="s">
        <v>8715</v>
      </c>
    </row>
    <row r="127" spans="1:10" ht="101.25" customHeight="1" thickBot="1" x14ac:dyDescent="0.25">
      <c r="A127" s="941"/>
      <c r="B127" s="941"/>
      <c r="C127" s="2487"/>
      <c r="D127" s="2492" t="s">
        <v>8713</v>
      </c>
      <c r="E127" s="2493"/>
      <c r="F127" s="2494"/>
      <c r="G127" s="1466">
        <f>(AVERAGE(CApctVeg8, BuffVeg8, Inflow8, Elev8, WetPct8) + AVERAGE(Gradient8, Outdur8, Constric8)) /2</f>
        <v>0.1</v>
      </c>
      <c r="H127" s="2036" t="s">
        <v>8703</v>
      </c>
      <c r="I127" s="1990" t="s">
        <v>8702</v>
      </c>
      <c r="J127" s="2037" t="s">
        <v>8716</v>
      </c>
    </row>
    <row r="128" spans="1:10" ht="137.25" customHeight="1" thickBot="1" x14ac:dyDescent="0.25">
      <c r="A128" s="941"/>
      <c r="B128" s="941"/>
      <c r="C128" s="2487"/>
      <c r="D128" s="2490" t="s">
        <v>1632</v>
      </c>
      <c r="E128" s="2491"/>
      <c r="F128" s="2491"/>
      <c r="G128" s="1908">
        <f>IF((OR(F!D7=1,F!D8=1)),(AVERAGE(GrowD8,Shade8,ConifCov8) + AVERAGE(Bubbles5,Sulphur8,SatPct8, HerbCov5, RobustEm5, Fluc8))/2, AVERAGE(SeasPct8,Ponded8,Created8,Vernal5,Puddle5,Bubbles5,Sulphur8,SatPct8,pH_8,Beaver8,HerbCov5,Fluc8,RobustEm5, Moss5))</f>
        <v>4.1666666666666664E-2</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81" t="s">
        <v>8922</v>
      </c>
      <c r="I129" s="2482"/>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A69:A74"/>
    <mergeCell ref="A75:A80"/>
    <mergeCell ref="A88:A93"/>
    <mergeCell ref="A98:A101"/>
    <mergeCell ref="A81:A86"/>
    <mergeCell ref="A1:B1"/>
    <mergeCell ref="A56:A61"/>
    <mergeCell ref="A62:A68"/>
    <mergeCell ref="A14:A20"/>
    <mergeCell ref="A29:A34"/>
    <mergeCell ref="A35:A39"/>
    <mergeCell ref="A40:A45"/>
    <mergeCell ref="A46:A51"/>
    <mergeCell ref="A52:A55"/>
    <mergeCell ref="A21:A28"/>
    <mergeCell ref="B21:B28"/>
    <mergeCell ref="B35:B39"/>
    <mergeCell ref="H21:H28"/>
    <mergeCell ref="I21:I28"/>
    <mergeCell ref="B14:B20"/>
    <mergeCell ref="H14:H20"/>
    <mergeCell ref="B29:B34"/>
    <mergeCell ref="H29:H34"/>
    <mergeCell ref="H35:H39"/>
    <mergeCell ref="B40:B45"/>
    <mergeCell ref="H40:H45"/>
    <mergeCell ref="B46:B51"/>
    <mergeCell ref="H46:H51"/>
    <mergeCell ref="I79:I80"/>
    <mergeCell ref="B56:B61"/>
    <mergeCell ref="H56:H61"/>
    <mergeCell ref="I46:I51"/>
    <mergeCell ref="B52:B55"/>
    <mergeCell ref="H52:H55"/>
    <mergeCell ref="I52:I55"/>
    <mergeCell ref="I69:I74"/>
    <mergeCell ref="H88:H93"/>
    <mergeCell ref="B62:B68"/>
    <mergeCell ref="H62:H68"/>
    <mergeCell ref="B69:B74"/>
    <mergeCell ref="H69:H74"/>
    <mergeCell ref="B75:B80"/>
    <mergeCell ref="H75:H80"/>
    <mergeCell ref="H129:I129"/>
    <mergeCell ref="I113:I118"/>
    <mergeCell ref="A119:A122"/>
    <mergeCell ref="B119:B122"/>
    <mergeCell ref="H119:H122"/>
    <mergeCell ref="C126:C128"/>
    <mergeCell ref="D126:F126"/>
    <mergeCell ref="D128:F128"/>
    <mergeCell ref="D127:F127"/>
    <mergeCell ref="A113:A118"/>
    <mergeCell ref="B113:B118"/>
    <mergeCell ref="H113:H118"/>
    <mergeCell ref="H4:H8"/>
    <mergeCell ref="B4:B8"/>
    <mergeCell ref="I4:I8"/>
    <mergeCell ref="A4:A8"/>
    <mergeCell ref="H9:H12"/>
    <mergeCell ref="B9:B12"/>
    <mergeCell ref="A9:A12"/>
    <mergeCell ref="I9:I12"/>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16" t="s">
        <v>1641</v>
      </c>
      <c r="B1" s="2510"/>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v>
      </c>
      <c r="E3" s="1855"/>
      <c r="F3" s="82"/>
      <c r="G3" s="1853">
        <f>1-D3</f>
        <v>1</v>
      </c>
      <c r="H3" s="1858" t="s">
        <v>8695</v>
      </c>
      <c r="I3" s="1852" t="s">
        <v>8552</v>
      </c>
    </row>
    <row r="4" spans="1:9" ht="27" customHeight="1" thickBot="1" x14ac:dyDescent="0.25">
      <c r="A4" s="2514" t="str">
        <f>OF!A139</f>
        <v>OF26</v>
      </c>
      <c r="B4" s="2511"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253" t="s">
        <v>1644</v>
      </c>
      <c r="I4" s="283" t="s">
        <v>1645</v>
      </c>
    </row>
    <row r="5" spans="1:9" ht="15" customHeight="1" x14ac:dyDescent="0.2">
      <c r="A5" s="2514"/>
      <c r="B5" s="2512"/>
      <c r="C5" s="1338" t="str">
        <f>OF!C140</f>
        <v>&lt;10 m</v>
      </c>
      <c r="D5" s="417">
        <f>OF!D140</f>
        <v>0</v>
      </c>
      <c r="E5" s="86">
        <v>0</v>
      </c>
      <c r="F5" s="76">
        <f t="shared" ref="F5:F10" si="0">D5*E5</f>
        <v>0</v>
      </c>
      <c r="G5" s="153"/>
      <c r="H5" s="2253"/>
      <c r="I5" s="64"/>
    </row>
    <row r="6" spans="1:9" ht="15" customHeight="1" x14ac:dyDescent="0.2">
      <c r="A6" s="2514"/>
      <c r="B6" s="2512"/>
      <c r="C6" s="1338" t="str">
        <f>OF!C141</f>
        <v>10 - 50 m</v>
      </c>
      <c r="D6" s="417">
        <f>OF!D141</f>
        <v>0</v>
      </c>
      <c r="E6" s="86">
        <v>2</v>
      </c>
      <c r="F6" s="76">
        <f t="shared" si="0"/>
        <v>0</v>
      </c>
      <c r="G6" s="153"/>
      <c r="H6" s="2253"/>
      <c r="I6" s="64"/>
    </row>
    <row r="7" spans="1:9" ht="15" customHeight="1" x14ac:dyDescent="0.2">
      <c r="A7" s="2514"/>
      <c r="B7" s="2512"/>
      <c r="C7" s="1338" t="str">
        <f>OF!C142</f>
        <v>50 - 100 m</v>
      </c>
      <c r="D7" s="417">
        <f>OF!D142</f>
        <v>0</v>
      </c>
      <c r="E7" s="86">
        <v>3</v>
      </c>
      <c r="F7" s="76">
        <f t="shared" si="0"/>
        <v>0</v>
      </c>
      <c r="G7" s="153"/>
      <c r="H7" s="2253"/>
      <c r="I7" s="64"/>
    </row>
    <row r="8" spans="1:9" ht="15" customHeight="1" x14ac:dyDescent="0.2">
      <c r="A8" s="2514"/>
      <c r="B8" s="2512"/>
      <c r="C8" s="1338" t="str">
        <f>OF!C143</f>
        <v>100 - 1000 m</v>
      </c>
      <c r="D8" s="417">
        <f>OF!D143</f>
        <v>0</v>
      </c>
      <c r="E8" s="86">
        <v>4</v>
      </c>
      <c r="F8" s="76">
        <f t="shared" si="0"/>
        <v>0</v>
      </c>
      <c r="G8" s="153"/>
      <c r="H8" s="2253"/>
      <c r="I8" s="64"/>
    </row>
    <row r="9" spans="1:9" ht="15" customHeight="1" x14ac:dyDescent="0.2">
      <c r="A9" s="2514"/>
      <c r="B9" s="2512"/>
      <c r="C9" s="1338" t="str">
        <f>OF!C144</f>
        <v>1- 2 km</v>
      </c>
      <c r="D9" s="417">
        <f>OF!D144</f>
        <v>0</v>
      </c>
      <c r="E9" s="86">
        <v>5</v>
      </c>
      <c r="F9" s="76">
        <f t="shared" si="0"/>
        <v>0</v>
      </c>
      <c r="G9" s="153"/>
      <c r="H9" s="2253"/>
      <c r="I9" s="64"/>
    </row>
    <row r="10" spans="1:9" ht="15.6" customHeight="1" thickBot="1" x14ac:dyDescent="0.25">
      <c r="A10" s="2514"/>
      <c r="B10" s="2513"/>
      <c r="C10" s="1339" t="str">
        <f>OF!C145</f>
        <v>&gt;2 km</v>
      </c>
      <c r="D10" s="412">
        <f>OF!D145</f>
        <v>0</v>
      </c>
      <c r="E10" s="137">
        <v>7</v>
      </c>
      <c r="F10" s="79">
        <f t="shared" si="0"/>
        <v>0</v>
      </c>
      <c r="G10" s="159"/>
      <c r="H10" s="2253"/>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11"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53" t="s">
        <v>1647</v>
      </c>
      <c r="I12" s="283" t="s">
        <v>1648</v>
      </c>
    </row>
    <row r="13" spans="1:9" ht="30" customHeight="1" x14ac:dyDescent="0.2">
      <c r="A13" s="1177"/>
      <c r="B13" s="2512"/>
      <c r="C13" s="1342" t="str">
        <f>F!C218</f>
        <v>Scattered. More than 30% of such vegetation forms small islands or corridors surrounded by water.</v>
      </c>
      <c r="D13" s="681">
        <f>F!D218</f>
        <v>0</v>
      </c>
      <c r="E13" s="76">
        <v>3</v>
      </c>
      <c r="F13" s="79">
        <f>D13*E13</f>
        <v>0</v>
      </c>
      <c r="G13" s="153"/>
      <c r="H13" s="2253"/>
      <c r="I13" s="64"/>
    </row>
    <row r="14" spans="1:9" ht="15" customHeight="1" x14ac:dyDescent="0.2">
      <c r="A14" s="1177"/>
      <c r="B14" s="2512"/>
      <c r="C14" s="1342" t="str">
        <f>F!C219</f>
        <v>Intermediate.</v>
      </c>
      <c r="D14" s="681">
        <f>F!D219</f>
        <v>0</v>
      </c>
      <c r="E14" s="76">
        <v>2</v>
      </c>
      <c r="F14" s="79">
        <f>D14*E14</f>
        <v>0</v>
      </c>
      <c r="G14" s="153"/>
      <c r="H14" s="2253"/>
      <c r="I14" s="64"/>
    </row>
    <row r="15" spans="1:9" ht="15" customHeight="1" thickBot="1" x14ac:dyDescent="0.25">
      <c r="A15" s="1177"/>
      <c r="B15" s="2513"/>
      <c r="C15" s="1346" t="str">
        <f>F!C220</f>
        <v>Clumped. More than 70% of such vegetation is in bands along the wetland perimeter or is clumped at one or a few sides of the surface water area.</v>
      </c>
      <c r="D15" s="814">
        <f>F!D220</f>
        <v>0</v>
      </c>
      <c r="E15" s="79">
        <v>0</v>
      </c>
      <c r="F15" s="79">
        <f>D15*E15</f>
        <v>0</v>
      </c>
      <c r="G15" s="159"/>
      <c r="H15" s="2253"/>
      <c r="I15" s="282"/>
    </row>
    <row r="16" spans="1:9" ht="15" customHeight="1" thickBot="1" x14ac:dyDescent="0.25">
      <c r="A16" s="1150" t="str">
        <f>F!A232</f>
        <v>F43</v>
      </c>
      <c r="B16" s="250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52" t="s">
        <v>8825</v>
      </c>
      <c r="I16" s="283" t="s">
        <v>1649</v>
      </c>
    </row>
    <row r="17" spans="1:9" ht="18" customHeight="1" x14ac:dyDescent="0.2">
      <c r="A17" s="1151"/>
      <c r="B17" s="2506"/>
      <c r="C17" s="1343" t="str">
        <f>F!C233</f>
        <v>Persistent (surface water flows out for &gt;9 months/year).</v>
      </c>
      <c r="D17" s="650">
        <f>F!D233</f>
        <v>0</v>
      </c>
      <c r="E17" s="76">
        <v>5</v>
      </c>
      <c r="F17" s="76">
        <f>D17*E17</f>
        <v>0</v>
      </c>
      <c r="G17" s="152"/>
      <c r="H17" s="2253"/>
      <c r="I17" s="64"/>
    </row>
    <row r="18" spans="1:9" ht="32.65" customHeight="1" x14ac:dyDescent="0.2">
      <c r="A18" s="1151"/>
      <c r="B18" s="2506"/>
      <c r="C18" s="1344" t="str">
        <f>F!C234</f>
        <v>Seasonal (surface water flows out for 14 days to 9 months/year, not necessarily consecutive).</v>
      </c>
      <c r="D18" s="651">
        <f>F!D234</f>
        <v>0</v>
      </c>
      <c r="E18" s="76">
        <v>4</v>
      </c>
      <c r="F18" s="76">
        <f>D18*E18</f>
        <v>0</v>
      </c>
      <c r="G18" s="153"/>
      <c r="H18" s="2253"/>
      <c r="I18" s="64"/>
    </row>
    <row r="19" spans="1:9" ht="30" customHeight="1" x14ac:dyDescent="0.2">
      <c r="A19" s="1151"/>
      <c r="B19" s="2506"/>
      <c r="C19" s="1344" t="str">
        <f>F!C235</f>
        <v>Temporary (surface water flows out for &lt;14 days, not necessarily consecutive).</v>
      </c>
      <c r="D19" s="651">
        <f>F!D235</f>
        <v>0</v>
      </c>
      <c r="E19" s="76">
        <v>3</v>
      </c>
      <c r="F19" s="76">
        <f>D19*E19</f>
        <v>0</v>
      </c>
      <c r="G19" s="153"/>
      <c r="H19" s="2253"/>
      <c r="I19" s="64"/>
    </row>
    <row r="20" spans="1:9" ht="42" customHeight="1" x14ac:dyDescent="0.2">
      <c r="A20" s="1151"/>
      <c r="B20" s="250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53"/>
      <c r="I20" s="64"/>
    </row>
    <row r="21" spans="1:9" ht="15" customHeight="1" thickBot="1" x14ac:dyDescent="0.25">
      <c r="A21" s="1152"/>
      <c r="B21" s="250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54"/>
      <c r="I21" s="282"/>
    </row>
    <row r="22" spans="1:9" ht="27.6" customHeight="1" thickBot="1" x14ac:dyDescent="0.25">
      <c r="A22" s="1173" t="str">
        <f>F!A239</f>
        <v>F44</v>
      </c>
      <c r="B22" s="2508"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53" t="s">
        <v>1650</v>
      </c>
      <c r="I22" s="283" t="s">
        <v>1651</v>
      </c>
    </row>
    <row r="23" spans="1:9" ht="51.75" customHeight="1" x14ac:dyDescent="0.2">
      <c r="A23" s="1173"/>
      <c r="B23" s="250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53"/>
      <c r="I23" s="64"/>
    </row>
    <row r="24" spans="1:9" ht="32.25" customHeight="1" x14ac:dyDescent="0.2">
      <c r="A24" s="1173"/>
      <c r="B24" s="2506"/>
      <c r="C24" s="1344" t="str">
        <f>F!C241</f>
        <v>Leaves through natural exits (channels or diffuse outflow), not mainly through artificial or temporary features.</v>
      </c>
      <c r="D24" s="651">
        <f>F!D241</f>
        <v>0</v>
      </c>
      <c r="E24" s="76">
        <v>2</v>
      </c>
      <c r="F24" s="76">
        <f>D24*E24</f>
        <v>0</v>
      </c>
      <c r="G24" s="160"/>
      <c r="H24" s="2253"/>
      <c r="I24" s="64"/>
    </row>
    <row r="25" spans="1:9" ht="16.149999999999999" customHeight="1" thickBot="1" x14ac:dyDescent="0.25">
      <c r="A25" s="1173"/>
      <c r="B25" s="2509"/>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53"/>
      <c r="I25" s="282"/>
    </row>
    <row r="26" spans="1:9" ht="27" customHeight="1" thickBot="1" x14ac:dyDescent="0.25">
      <c r="A26" s="1153" t="str">
        <f>F!A244</f>
        <v>F45</v>
      </c>
      <c r="B26" s="250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52" t="s">
        <v>1652</v>
      </c>
      <c r="I26" s="283" t="s">
        <v>1653</v>
      </c>
    </row>
    <row r="27" spans="1:9" ht="27.75" customHeight="1" x14ac:dyDescent="0.2">
      <c r="A27" s="1173"/>
      <c r="B27" s="250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53"/>
      <c r="I27" s="64"/>
    </row>
    <row r="28" spans="1:9" ht="27.6" customHeight="1" x14ac:dyDescent="0.2">
      <c r="A28" s="1173"/>
      <c r="B28" s="2506"/>
      <c r="C28" s="1344" t="str">
        <f>F!C246</f>
        <v>Bumps into herbaceous vegetation but mostly remains in fairly straight channels.</v>
      </c>
      <c r="D28" s="651">
        <f>F!D246</f>
        <v>0</v>
      </c>
      <c r="E28" s="76">
        <v>1</v>
      </c>
      <c r="F28" s="76">
        <f>D28*E28</f>
        <v>0</v>
      </c>
      <c r="G28" s="153"/>
      <c r="H28" s="2253"/>
      <c r="I28" s="64"/>
    </row>
    <row r="29" spans="1:9" ht="33" customHeight="1" x14ac:dyDescent="0.2">
      <c r="A29" s="1173"/>
      <c r="B29" s="2506"/>
      <c r="C29" s="1344" t="str">
        <f>F!C247</f>
        <v>Bumps into herbaceous vegetation and mostly spreads throughout, or is in widely meandering, multi-branched, or braided channels.</v>
      </c>
      <c r="D29" s="651">
        <f>F!D247</f>
        <v>0</v>
      </c>
      <c r="E29" s="76">
        <v>2</v>
      </c>
      <c r="F29" s="76">
        <f>D29*E29</f>
        <v>0</v>
      </c>
      <c r="G29" s="153"/>
      <c r="H29" s="2253"/>
      <c r="I29" s="64"/>
    </row>
    <row r="30" spans="1:9" ht="32.25" customHeight="1" x14ac:dyDescent="0.2">
      <c r="A30" s="1173"/>
      <c r="B30" s="2506"/>
      <c r="C30" s="1344" t="str">
        <f>F!C248</f>
        <v>Bumps into tree trunks and/or shrub stems but mostly remains in fairly straight channels.</v>
      </c>
      <c r="D30" s="651">
        <f>F!D248</f>
        <v>0</v>
      </c>
      <c r="E30" s="76">
        <v>1</v>
      </c>
      <c r="F30" s="76">
        <f>D30*E30</f>
        <v>0</v>
      </c>
      <c r="G30" s="153"/>
      <c r="H30" s="2253"/>
      <c r="I30" s="64"/>
    </row>
    <row r="31" spans="1:9" ht="31.5" customHeight="1" thickBot="1" x14ac:dyDescent="0.25">
      <c r="A31" s="1174"/>
      <c r="B31" s="2507"/>
      <c r="C31" s="1191" t="str">
        <f>F!C249</f>
        <v>Bumps into tree trunks and/or shrub stems and follows a fairly indirect path from entrance to exit (meandering, multi-branched, or braided).</v>
      </c>
      <c r="D31" s="364">
        <f>F!D249</f>
        <v>0</v>
      </c>
      <c r="E31" s="77">
        <v>2</v>
      </c>
      <c r="F31" s="77">
        <f>D31*E31</f>
        <v>0</v>
      </c>
      <c r="G31" s="154"/>
      <c r="H31" s="2254"/>
      <c r="I31" s="282"/>
    </row>
    <row r="32" spans="1:9" ht="15" customHeight="1" thickBot="1" x14ac:dyDescent="0.25">
      <c r="A32" s="1173" t="str">
        <f>F!A260</f>
        <v>F49</v>
      </c>
      <c r="B32" s="2508" t="str">
        <f>F!B260</f>
        <v>Internal Gradient [WS, SR, PR, NR, OE, WBF, WBN]</v>
      </c>
      <c r="C32" s="117" t="str">
        <f>F!C260</f>
        <v>The gradient along most of the flow path within the AA is:</v>
      </c>
      <c r="D32" s="88"/>
      <c r="E32" s="75"/>
      <c r="F32" s="78"/>
      <c r="G32" s="348">
        <f>MAX(F33:F36)/MAX(E33:E36)</f>
        <v>0</v>
      </c>
      <c r="H32" s="2253" t="s">
        <v>1654</v>
      </c>
      <c r="I32" s="283" t="s">
        <v>1655</v>
      </c>
    </row>
    <row r="33" spans="1:10" ht="15" customHeight="1" x14ac:dyDescent="0.2">
      <c r="A33" s="1173"/>
      <c r="B33" s="2506"/>
      <c r="C33" s="1343" t="str">
        <f>F!C261</f>
        <v>&lt;2% or the AA has no surface water outlet (not even seasonally).</v>
      </c>
      <c r="D33" s="650">
        <f>F!D261</f>
        <v>0</v>
      </c>
      <c r="E33" s="86">
        <v>0</v>
      </c>
      <c r="F33" s="76">
        <f>D33*E33</f>
        <v>0</v>
      </c>
      <c r="G33" s="191"/>
      <c r="H33" s="2253"/>
      <c r="I33" s="64"/>
    </row>
    <row r="34" spans="1:10" ht="18.600000000000001" customHeight="1" x14ac:dyDescent="0.2">
      <c r="A34" s="1173"/>
      <c r="B34" s="2506"/>
      <c r="C34" s="1344" t="str">
        <f>F!C262</f>
        <v>2-5%.</v>
      </c>
      <c r="D34" s="651">
        <f>F!D262</f>
        <v>0</v>
      </c>
      <c r="E34" s="86">
        <v>2</v>
      </c>
      <c r="F34" s="76">
        <f>D34*E34</f>
        <v>0</v>
      </c>
      <c r="G34" s="192"/>
      <c r="H34" s="2253"/>
      <c r="I34" s="64"/>
    </row>
    <row r="35" spans="1:10" ht="15" customHeight="1" x14ac:dyDescent="0.2">
      <c r="A35" s="1173"/>
      <c r="B35" s="2506"/>
      <c r="C35" s="1344" t="str">
        <f>F!C263</f>
        <v>6-10%.</v>
      </c>
      <c r="D35" s="651">
        <f>F!D263</f>
        <v>0</v>
      </c>
      <c r="E35" s="86">
        <v>3</v>
      </c>
      <c r="F35" s="76">
        <f>D35*E35</f>
        <v>0</v>
      </c>
      <c r="G35" s="192"/>
      <c r="H35" s="2253"/>
      <c r="I35" s="64"/>
    </row>
    <row r="36" spans="1:10" ht="15" customHeight="1" thickBot="1" x14ac:dyDescent="0.25">
      <c r="A36" s="1173"/>
      <c r="B36" s="2509"/>
      <c r="C36" s="1345" t="str">
        <f>F!C264</f>
        <v>&gt;10%.</v>
      </c>
      <c r="D36" s="652">
        <f>F!D264</f>
        <v>0</v>
      </c>
      <c r="E36" s="137">
        <v>4</v>
      </c>
      <c r="F36" s="79">
        <f>D36*E36</f>
        <v>0</v>
      </c>
      <c r="G36" s="211"/>
      <c r="H36" s="2253"/>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21" t="s">
        <v>1053</v>
      </c>
      <c r="D39" s="2515" t="s">
        <v>1660</v>
      </c>
      <c r="E39" s="2516"/>
      <c r="F39" s="2517"/>
      <c r="G39" s="655">
        <f>CSP!G83/10</f>
        <v>0.46031746031746035</v>
      </c>
      <c r="H39" s="686" t="s">
        <v>1661</v>
      </c>
      <c r="I39" s="349" t="s">
        <v>1662</v>
      </c>
      <c r="J39" s="1190" t="s">
        <v>1663</v>
      </c>
    </row>
    <row r="40" spans="1:10" ht="21" customHeight="1" x14ac:dyDescent="0.2">
      <c r="A40" s="163"/>
      <c r="B40" s="163"/>
      <c r="C40" s="2522"/>
      <c r="D40" s="2384" t="s">
        <v>1664</v>
      </c>
      <c r="E40" s="2385"/>
      <c r="F40" s="2386"/>
      <c r="G40" s="657" t="e">
        <f>APPscore/10</f>
        <v>#VALUE!</v>
      </c>
      <c r="H40" s="256" t="s">
        <v>1665</v>
      </c>
      <c r="I40" s="323" t="s">
        <v>1666</v>
      </c>
      <c r="J40" s="1344" t="s">
        <v>1667</v>
      </c>
    </row>
    <row r="41" spans="1:10" ht="57" customHeight="1" thickBot="1" x14ac:dyDescent="0.25">
      <c r="A41" s="163"/>
      <c r="B41" s="163"/>
      <c r="C41" s="2523"/>
      <c r="D41" s="2518" t="s">
        <v>1668</v>
      </c>
      <c r="E41" s="2519"/>
      <c r="F41" s="2520"/>
      <c r="G41" s="659">
        <f>IF((OutDura6=0),0,AVERAGE(OutDura6, AVERAGE(Elev6,Gradient6, GrowD6,FloDist6,Constric6, ThruFlo6, Interspers6)))</f>
        <v>0</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26:B31"/>
    <mergeCell ref="H26:H31"/>
    <mergeCell ref="D39:F39"/>
    <mergeCell ref="D41:F41"/>
    <mergeCell ref="D40:F40"/>
    <mergeCell ref="H32:H36"/>
    <mergeCell ref="B32:B36"/>
    <mergeCell ref="C39:C41"/>
    <mergeCell ref="B16:B21"/>
    <mergeCell ref="H16:H21"/>
    <mergeCell ref="B22:B25"/>
    <mergeCell ref="H22:H25"/>
    <mergeCell ref="A1:B1"/>
    <mergeCell ref="H4:H10"/>
    <mergeCell ref="B4:B10"/>
    <mergeCell ref="A4:A10"/>
    <mergeCell ref="B12:B15"/>
    <mergeCell ref="H12:H15"/>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40" t="s">
        <v>1674</v>
      </c>
      <c r="B1" s="2540"/>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41" t="str">
        <f>OF!A89</f>
        <v>OF15</v>
      </c>
      <c r="B3" s="2505" t="str">
        <f>OF!B89</f>
        <v>Tidal Proximity [APP, FA, WBF, CRI]</v>
      </c>
      <c r="C3" s="63" t="str">
        <f>OF!C89</f>
        <v>The distance from the AA edge to the closest tidal water body (regardless of its salinity) is:</v>
      </c>
      <c r="D3" s="556"/>
      <c r="E3" s="65"/>
      <c r="F3" s="68"/>
      <c r="G3" s="165">
        <f>MAX(F4:F8)/MAX(E4:E8)</f>
        <v>0</v>
      </c>
      <c r="H3" s="2271" t="s">
        <v>1676</v>
      </c>
      <c r="I3" s="283" t="s">
        <v>1677</v>
      </c>
    </row>
    <row r="4" spans="1:9" x14ac:dyDescent="0.2">
      <c r="A4" s="2514"/>
      <c r="B4" s="2506"/>
      <c r="C4" s="150" t="str">
        <f>OF!C90</f>
        <v>&lt;100 m.</v>
      </c>
      <c r="D4" s="401">
        <f>OF!D90</f>
        <v>0</v>
      </c>
      <c r="E4" s="26">
        <v>4</v>
      </c>
      <c r="F4" s="76">
        <f>D4*E4</f>
        <v>0</v>
      </c>
      <c r="G4" s="212"/>
      <c r="H4" s="2266"/>
      <c r="I4" s="64"/>
    </row>
    <row r="5" spans="1:9" x14ac:dyDescent="0.2">
      <c r="A5" s="2514"/>
      <c r="B5" s="2506"/>
      <c r="C5" s="281" t="str">
        <f>OF!C91</f>
        <v>100 m - 1 km.</v>
      </c>
      <c r="D5" s="558">
        <f>OF!D91</f>
        <v>0</v>
      </c>
      <c r="E5" s="26">
        <v>4</v>
      </c>
      <c r="F5" s="76">
        <f>D5*E5</f>
        <v>0</v>
      </c>
      <c r="G5" s="213"/>
      <c r="H5" s="2266"/>
      <c r="I5" s="64"/>
    </row>
    <row r="6" spans="1:9" x14ac:dyDescent="0.2">
      <c r="A6" s="2514"/>
      <c r="B6" s="2506"/>
      <c r="C6" s="281" t="str">
        <f>OF!C92</f>
        <v>1 - 5 km.</v>
      </c>
      <c r="D6" s="558">
        <f>OF!D92</f>
        <v>0</v>
      </c>
      <c r="E6" s="26">
        <v>3</v>
      </c>
      <c r="F6" s="76">
        <f>D6*E6</f>
        <v>0</v>
      </c>
      <c r="G6" s="213"/>
      <c r="H6" s="2266"/>
      <c r="I6" s="64"/>
    </row>
    <row r="7" spans="1:9" x14ac:dyDescent="0.2">
      <c r="A7" s="2514"/>
      <c r="B7" s="2506"/>
      <c r="C7" s="281" t="str">
        <f>OF!C94</f>
        <v>10-40 km.</v>
      </c>
      <c r="D7" s="558">
        <f>OF!D94</f>
        <v>0</v>
      </c>
      <c r="E7" s="26">
        <v>2</v>
      </c>
      <c r="F7" s="76">
        <f>D7*E7</f>
        <v>0</v>
      </c>
      <c r="G7" s="213"/>
      <c r="H7" s="2266"/>
      <c r="I7" s="64"/>
    </row>
    <row r="8" spans="1:9" ht="17.25" thickBot="1" x14ac:dyDescent="0.25">
      <c r="A8" s="2542"/>
      <c r="B8" s="2507"/>
      <c r="C8" s="249" t="str">
        <f>OF!C95</f>
        <v>&gt;40 km.</v>
      </c>
      <c r="D8" s="794">
        <f>OF!D95</f>
        <v>0</v>
      </c>
      <c r="E8" s="67">
        <v>0</v>
      </c>
      <c r="F8" s="77">
        <f>D8*E8</f>
        <v>0</v>
      </c>
      <c r="G8" s="214"/>
      <c r="H8" s="2267"/>
      <c r="I8" s="282"/>
    </row>
    <row r="9" spans="1:9" ht="90" thickBot="1" x14ac:dyDescent="0.25">
      <c r="A9" s="2280" t="str">
        <f>OF!A121</f>
        <v>OF22</v>
      </c>
      <c r="B9" s="2508"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v>
      </c>
      <c r="H9" s="2266" t="s">
        <v>1678</v>
      </c>
      <c r="I9" s="64" t="s">
        <v>1679</v>
      </c>
    </row>
    <row r="10" spans="1:9" ht="25.5" x14ac:dyDescent="0.2">
      <c r="A10" s="2280"/>
      <c r="B10" s="2506"/>
      <c r="C10" s="727" t="str">
        <f>OF!C122</f>
        <v>&lt;0.01, or catchment size unknown due to stormwater pipes that collect water from an indeterminate area.</v>
      </c>
      <c r="D10" s="558">
        <f>OF!D122</f>
        <v>0</v>
      </c>
      <c r="E10" s="26">
        <v>3</v>
      </c>
      <c r="F10" s="76">
        <f>D10*E10</f>
        <v>0</v>
      </c>
      <c r="G10" s="213"/>
      <c r="H10" s="2266"/>
      <c r="I10" s="64"/>
    </row>
    <row r="11" spans="1:9" x14ac:dyDescent="0.2">
      <c r="A11" s="2280"/>
      <c r="B11" s="2506"/>
      <c r="C11" s="766" t="str">
        <f>OF!C123</f>
        <v>0.01 to 0.1.</v>
      </c>
      <c r="D11" s="558">
        <f>OF!D123</f>
        <v>0</v>
      </c>
      <c r="E11" s="26">
        <v>2</v>
      </c>
      <c r="F11" s="76">
        <f>D11*E11</f>
        <v>0</v>
      </c>
      <c r="G11" s="213"/>
      <c r="H11" s="2266"/>
      <c r="I11" s="64"/>
    </row>
    <row r="12" spans="1:9" x14ac:dyDescent="0.2">
      <c r="A12" s="2280"/>
      <c r="B12" s="2506"/>
      <c r="C12" s="766" t="str">
        <f>OF!C124</f>
        <v>0.1 to 1.</v>
      </c>
      <c r="D12" s="558">
        <f>OF!D124</f>
        <v>0</v>
      </c>
      <c r="E12" s="26">
        <v>1</v>
      </c>
      <c r="F12" s="76">
        <f>D12*E12</f>
        <v>0</v>
      </c>
      <c r="G12" s="213"/>
      <c r="H12" s="2266"/>
      <c r="I12" s="64"/>
    </row>
    <row r="13" spans="1:9" ht="26.25" thickBot="1" x14ac:dyDescent="0.25">
      <c r="A13" s="2280"/>
      <c r="B13" s="2509"/>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266"/>
      <c r="I13" s="64"/>
    </row>
    <row r="14" spans="1:9" ht="39" thickBot="1" x14ac:dyDescent="0.25">
      <c r="A14" s="2279" t="str">
        <f>OF!A127</f>
        <v>OF23</v>
      </c>
      <c r="B14" s="2543"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v>
      </c>
      <c r="H14" s="2418" t="s">
        <v>8637</v>
      </c>
      <c r="I14" s="283" t="s">
        <v>1680</v>
      </c>
    </row>
    <row r="15" spans="1:9" x14ac:dyDescent="0.2">
      <c r="A15" s="2280"/>
      <c r="B15" s="2544"/>
      <c r="C15" s="10" t="str">
        <f>OF!C128</f>
        <v>&lt;10%.</v>
      </c>
      <c r="D15" s="479">
        <f>OF!D128</f>
        <v>0</v>
      </c>
      <c r="E15" s="75">
        <v>3</v>
      </c>
      <c r="F15" s="76">
        <f>D15*E15</f>
        <v>0</v>
      </c>
      <c r="G15" s="191"/>
      <c r="H15" s="2419"/>
      <c r="I15" s="64"/>
    </row>
    <row r="16" spans="1:9" x14ac:dyDescent="0.2">
      <c r="A16" s="2280"/>
      <c r="B16" s="2544"/>
      <c r="C16" s="1356" t="str">
        <f>OF!C129</f>
        <v>10 to 25%.</v>
      </c>
      <c r="D16" s="557">
        <f>OF!D129</f>
        <v>0</v>
      </c>
      <c r="E16" s="75">
        <v>2</v>
      </c>
      <c r="F16" s="76">
        <f>D16*E16</f>
        <v>0</v>
      </c>
      <c r="G16" s="192"/>
      <c r="H16" s="2419"/>
      <c r="I16" s="64"/>
    </row>
    <row r="17" spans="1:9" ht="17.25" thickBot="1" x14ac:dyDescent="0.25">
      <c r="A17" s="2281"/>
      <c r="B17" s="2545"/>
      <c r="C17" s="767" t="str">
        <f>OF!C130</f>
        <v>&gt;25%.</v>
      </c>
      <c r="D17" s="794">
        <f>OF!D130</f>
        <v>0</v>
      </c>
      <c r="E17" s="84">
        <v>0</v>
      </c>
      <c r="F17" s="77">
        <f>D17*E17</f>
        <v>0</v>
      </c>
      <c r="G17" s="193"/>
      <c r="H17" s="2420"/>
      <c r="I17" s="282"/>
    </row>
    <row r="18" spans="1:9" ht="26.25" thickBot="1" x14ac:dyDescent="0.25">
      <c r="A18" s="1537" t="str">
        <f>OF!A135</f>
        <v>OF25</v>
      </c>
      <c r="B18" s="2508" t="str">
        <f>OF!B135</f>
        <v>Aspect [WS, SFTSb, NR, CS, CC, APP]</v>
      </c>
      <c r="C18" s="150" t="str">
        <f>OF!C135</f>
        <v>The overland flow direction of most surface water (in streams, rivers, or runoff) that enters the AA is:</v>
      </c>
      <c r="D18" s="802"/>
      <c r="E18" s="75"/>
      <c r="F18" s="75"/>
      <c r="G18" s="348">
        <f>MAX(F19:F21)/MAX(E19:E21)</f>
        <v>0</v>
      </c>
      <c r="H18" s="2266" t="s">
        <v>1681</v>
      </c>
      <c r="I18" s="64" t="s">
        <v>1682</v>
      </c>
    </row>
    <row r="19" spans="1:9" x14ac:dyDescent="0.2">
      <c r="A19" s="1199"/>
      <c r="B19" s="2506"/>
      <c r="C19" s="281" t="str">
        <f>OF!C136</f>
        <v>Northward (N, NE). north-facing contributing area.</v>
      </c>
      <c r="D19" s="558">
        <f>OF!D136</f>
        <v>0</v>
      </c>
      <c r="E19" s="76">
        <v>0</v>
      </c>
      <c r="F19" s="76">
        <f>D19*E19</f>
        <v>0</v>
      </c>
      <c r="G19" s="192"/>
      <c r="H19" s="2266"/>
      <c r="I19" s="64"/>
    </row>
    <row r="20" spans="1:9" x14ac:dyDescent="0.2">
      <c r="A20" s="1199"/>
      <c r="B20" s="2506"/>
      <c r="C20" s="281" t="str">
        <f>OF!C137</f>
        <v>Southward (S, SW). south-facing contributing area.</v>
      </c>
      <c r="D20" s="558">
        <f>OF!D137</f>
        <v>0</v>
      </c>
      <c r="E20" s="76">
        <v>3</v>
      </c>
      <c r="F20" s="76">
        <f>D20*E20</f>
        <v>0</v>
      </c>
      <c r="G20" s="192"/>
      <c r="H20" s="2266"/>
      <c r="I20" s="64"/>
    </row>
    <row r="21" spans="1:9" ht="17.25" thickBot="1" x14ac:dyDescent="0.25">
      <c r="A21" s="1199"/>
      <c r="B21" s="2509"/>
      <c r="C21" s="151" t="str">
        <f>OF!C138</f>
        <v>Other (E, SE, W, NW), or no detectable uphill slope or input channel (flat).</v>
      </c>
      <c r="D21" s="557">
        <f>OF!D138</f>
        <v>0</v>
      </c>
      <c r="E21" s="79">
        <v>2</v>
      </c>
      <c r="F21" s="79">
        <f>D21*E21</f>
        <v>0</v>
      </c>
      <c r="G21" s="211"/>
      <c r="H21" s="2266"/>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0</v>
      </c>
      <c r="E23" s="71"/>
      <c r="F23" s="83"/>
      <c r="G23" s="576" t="str">
        <f>IF((D23=1),1,"")</f>
        <v/>
      </c>
      <c r="H23" s="289" t="s">
        <v>1684</v>
      </c>
      <c r="I23" s="4" t="s">
        <v>1685</v>
      </c>
    </row>
    <row r="24" spans="1:9" ht="26.25" thickBot="1" x14ac:dyDescent="0.25">
      <c r="A24" s="1150" t="str">
        <f>F!A5</f>
        <v>F1</v>
      </c>
      <c r="B24" s="250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v>
      </c>
      <c r="H24" s="2271" t="s">
        <v>1686</v>
      </c>
      <c r="I24" s="64" t="s">
        <v>1608</v>
      </c>
    </row>
    <row r="25" spans="1:9" ht="63.75" x14ac:dyDescent="0.2">
      <c r="A25" s="1151"/>
      <c r="B25" s="250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266"/>
      <c r="I25" s="64"/>
    </row>
    <row r="26" spans="1:9" ht="76.5" x14ac:dyDescent="0.2">
      <c r="A26" s="1151"/>
      <c r="B26" s="250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266"/>
      <c r="I26" s="64"/>
    </row>
    <row r="27" spans="1:9" ht="51" x14ac:dyDescent="0.2">
      <c r="A27" s="1151"/>
      <c r="B27" s="250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266"/>
      <c r="I27" s="64"/>
    </row>
    <row r="28" spans="1:9" ht="38.25" x14ac:dyDescent="0.2">
      <c r="A28" s="1151"/>
      <c r="B28" s="250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266"/>
      <c r="I28" s="64"/>
    </row>
    <row r="29" spans="1:9" ht="38.25" x14ac:dyDescent="0.2">
      <c r="A29" s="1151"/>
      <c r="B29" s="250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266"/>
      <c r="I29" s="64"/>
    </row>
    <row r="30" spans="1:9" ht="51.75" thickBot="1" x14ac:dyDescent="0.25">
      <c r="A30" s="1152"/>
      <c r="B30" s="250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267"/>
      <c r="I30" s="282"/>
    </row>
    <row r="31" spans="1:9" ht="51.75" thickBot="1" x14ac:dyDescent="0.25">
      <c r="A31" s="1202" t="str">
        <f>F!A13</f>
        <v>F2</v>
      </c>
      <c r="B31" s="2508"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v>
      </c>
      <c r="H31" s="2266" t="s">
        <v>8648</v>
      </c>
      <c r="I31" s="283" t="s">
        <v>1687</v>
      </c>
    </row>
    <row r="32" spans="1:9" x14ac:dyDescent="0.2">
      <c r="A32" s="1202"/>
      <c r="B32" s="2506"/>
      <c r="C32" s="10" t="str">
        <f>F!C14</f>
        <v>A1.</v>
      </c>
      <c r="D32" s="479">
        <f>F!D14</f>
        <v>0</v>
      </c>
      <c r="E32" s="76"/>
      <c r="F32" s="76"/>
      <c r="G32" s="181"/>
      <c r="H32" s="2266"/>
      <c r="I32" s="64"/>
    </row>
    <row r="33" spans="1:11" x14ac:dyDescent="0.2">
      <c r="A33" s="1202"/>
      <c r="B33" s="2506"/>
      <c r="C33" s="1356" t="str">
        <f>F!C15</f>
        <v>A2.</v>
      </c>
      <c r="D33" s="557">
        <f>F!D15</f>
        <v>0</v>
      </c>
      <c r="E33" s="76"/>
      <c r="F33" s="76"/>
      <c r="G33" s="181"/>
      <c r="H33" s="2266"/>
      <c r="I33" s="64"/>
    </row>
    <row r="34" spans="1:11" x14ac:dyDescent="0.2">
      <c r="A34" s="1202"/>
      <c r="B34" s="2506"/>
      <c r="C34" s="1356" t="str">
        <f>F!C16</f>
        <v>B1.</v>
      </c>
      <c r="D34" s="557">
        <f>F!D16</f>
        <v>0</v>
      </c>
      <c r="E34" s="76"/>
      <c r="F34" s="76"/>
      <c r="G34" s="181"/>
      <c r="H34" s="2266"/>
      <c r="I34" s="64"/>
    </row>
    <row r="35" spans="1:11" ht="17.25" thickBot="1" x14ac:dyDescent="0.25">
      <c r="A35" s="1202"/>
      <c r="B35" s="2509"/>
      <c r="C35" s="1356" t="str">
        <f>F!C17</f>
        <v>B2.</v>
      </c>
      <c r="D35" s="557">
        <f>F!D17</f>
        <v>0</v>
      </c>
      <c r="E35" s="79"/>
      <c r="F35" s="79"/>
      <c r="G35" s="242"/>
      <c r="H35" s="2266"/>
      <c r="I35" s="282"/>
    </row>
    <row r="36" spans="1:11" ht="39" thickBot="1" x14ac:dyDescent="0.25">
      <c r="A36" s="2265" t="str">
        <f>F!A19</f>
        <v>F3</v>
      </c>
      <c r="B36" s="250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v>
      </c>
      <c r="H36" s="2271" t="s">
        <v>8830</v>
      </c>
      <c r="I36" s="2252" t="s">
        <v>1688</v>
      </c>
      <c r="K36" s="483"/>
    </row>
    <row r="37" spans="1:11" x14ac:dyDescent="0.2">
      <c r="A37" s="2262"/>
      <c r="B37" s="2506"/>
      <c r="C37" s="766" t="str">
        <f>F!C20</f>
        <v>evergreen trees (may include tamarack) taller than 6 m.</v>
      </c>
      <c r="D37" s="558">
        <f>F!D20</f>
        <v>0</v>
      </c>
      <c r="E37" s="76">
        <v>0</v>
      </c>
      <c r="F37" s="76">
        <f t="shared" ref="F37:F42" si="0">D37*E37</f>
        <v>0</v>
      </c>
      <c r="G37" s="243"/>
      <c r="H37" s="2266"/>
      <c r="I37" s="2253"/>
      <c r="K37" s="483"/>
    </row>
    <row r="38" spans="1:11" x14ac:dyDescent="0.2">
      <c r="A38" s="2262"/>
      <c r="B38" s="2506"/>
      <c r="C38" s="766" t="str">
        <f>F!C21</f>
        <v>deciduous trees taller than 6 m.</v>
      </c>
      <c r="D38" s="558">
        <f>F!D21</f>
        <v>0</v>
      </c>
      <c r="E38" s="76">
        <v>3</v>
      </c>
      <c r="F38" s="76">
        <f t="shared" si="0"/>
        <v>0</v>
      </c>
      <c r="G38" s="181"/>
      <c r="H38" s="2266"/>
      <c r="I38" s="2253"/>
      <c r="K38" s="483"/>
    </row>
    <row r="39" spans="1:11" x14ac:dyDescent="0.2">
      <c r="A39" s="2262"/>
      <c r="B39" s="2506"/>
      <c r="C39" s="766" t="str">
        <f>F!C22</f>
        <v>evergreen shrubs or trees 2 to 6 m tall not directly below the canopy of trees.</v>
      </c>
      <c r="D39" s="558">
        <f>F!D22</f>
        <v>0</v>
      </c>
      <c r="E39" s="76">
        <v>1</v>
      </c>
      <c r="F39" s="76">
        <f t="shared" si="0"/>
        <v>0</v>
      </c>
      <c r="G39" s="181"/>
      <c r="H39" s="2266"/>
      <c r="I39" s="2253"/>
      <c r="K39" s="483"/>
    </row>
    <row r="40" spans="1:11" x14ac:dyDescent="0.2">
      <c r="A40" s="2262"/>
      <c r="B40" s="2506"/>
      <c r="C40" s="766" t="str">
        <f>F!C23</f>
        <v>deciduous shrubs or trees 2 to 6 m tall not directly below the canopy of trees.</v>
      </c>
      <c r="D40" s="558">
        <f>F!D23</f>
        <v>0</v>
      </c>
      <c r="E40" s="76">
        <v>4</v>
      </c>
      <c r="F40" s="76">
        <f t="shared" si="0"/>
        <v>0</v>
      </c>
      <c r="G40" s="181"/>
      <c r="H40" s="2266"/>
      <c r="I40" s="2253"/>
    </row>
    <row r="41" spans="1:11" x14ac:dyDescent="0.2">
      <c r="A41" s="2262"/>
      <c r="B41" s="2506"/>
      <c r="C41" s="766" t="str">
        <f>F!C24</f>
        <v>evergreen vegetation 0.5 to 2 m tall not directly below the canopy of taller vegetation.</v>
      </c>
      <c r="D41" s="558">
        <f>F!D24</f>
        <v>0</v>
      </c>
      <c r="E41" s="76">
        <v>2</v>
      </c>
      <c r="F41" s="76">
        <f t="shared" si="0"/>
        <v>0</v>
      </c>
      <c r="G41" s="181"/>
      <c r="H41" s="2266"/>
      <c r="I41" s="2253"/>
    </row>
    <row r="42" spans="1:11" ht="25.5" x14ac:dyDescent="0.2">
      <c r="A42" s="2262"/>
      <c r="B42" s="2506"/>
      <c r="C42" s="766" t="str">
        <f>F!C25</f>
        <v>deciduous vegetation 0.5 to 2 m tall (e.g., deciduous seedlings) not directly below the canopy of taller vegetation.</v>
      </c>
      <c r="D42" s="558">
        <f>F!D25</f>
        <v>0</v>
      </c>
      <c r="E42" s="76">
        <v>5</v>
      </c>
      <c r="F42" s="76">
        <f t="shared" si="0"/>
        <v>0</v>
      </c>
      <c r="G42" s="181"/>
      <c r="H42" s="2266"/>
      <c r="I42" s="2253"/>
    </row>
    <row r="43" spans="1:11" ht="17.25" thickBot="1" x14ac:dyDescent="0.25">
      <c r="A43" s="2263"/>
      <c r="B43" s="2507"/>
      <c r="C43" s="767" t="str">
        <f>F!C26</f>
        <v>Non-woody vegetation (except mosses) not under a tree or shrub canopy.</v>
      </c>
      <c r="D43" s="794">
        <f>F!D26</f>
        <v>0</v>
      </c>
      <c r="E43" s="77"/>
      <c r="F43" s="84"/>
      <c r="G43" s="572"/>
      <c r="H43" s="2267"/>
      <c r="I43" s="2254"/>
    </row>
    <row r="44" spans="1:11" ht="26.25" thickBot="1" x14ac:dyDescent="0.25">
      <c r="A44" s="1151" t="str">
        <f>F!A84</f>
        <v>F13</v>
      </c>
      <c r="B44" s="2508" t="str">
        <f>F!B84</f>
        <v>Nitrogen Fixers [NRb, APP, Sens]</v>
      </c>
      <c r="C44" s="10" t="str">
        <f>F!C84</f>
        <v>The percentage of the AA's vegetated cover that contains nitrogen-fixing plants (e.g., alder, sweetgale, clover, lupine, alfalfa, other legumes) is:</v>
      </c>
      <c r="D44" s="1405"/>
      <c r="E44" s="89"/>
      <c r="F44" s="78"/>
      <c r="G44" s="348">
        <f>MAX(F45:F49)/MAX(E45:E49)</f>
        <v>0</v>
      </c>
      <c r="H44" s="2266" t="s">
        <v>8833</v>
      </c>
      <c r="I44" s="283" t="s">
        <v>1689</v>
      </c>
    </row>
    <row r="45" spans="1:11" x14ac:dyDescent="0.2">
      <c r="A45" s="1151"/>
      <c r="B45" s="2506"/>
      <c r="C45" s="766" t="str">
        <f>F!C85</f>
        <v>&lt;1% or none.</v>
      </c>
      <c r="D45" s="558">
        <f>F!D85</f>
        <v>0</v>
      </c>
      <c r="E45" s="76">
        <v>0</v>
      </c>
      <c r="F45" s="76">
        <f>D45*E45</f>
        <v>0</v>
      </c>
      <c r="G45" s="191"/>
      <c r="H45" s="2266"/>
      <c r="I45" s="64"/>
    </row>
    <row r="46" spans="1:11" x14ac:dyDescent="0.2">
      <c r="A46" s="1151"/>
      <c r="B46" s="2506"/>
      <c r="C46" s="766" t="str">
        <f>F!C86</f>
        <v>1-25% of the vegetated cover, in the AA or along its water edge (whichever has more).</v>
      </c>
      <c r="D46" s="558">
        <f>F!D86</f>
        <v>0</v>
      </c>
      <c r="E46" s="76">
        <v>1</v>
      </c>
      <c r="F46" s="76">
        <f>D46*E46</f>
        <v>0</v>
      </c>
      <c r="G46" s="192"/>
      <c r="H46" s="2266"/>
      <c r="I46" s="64"/>
    </row>
    <row r="47" spans="1:11" x14ac:dyDescent="0.2">
      <c r="A47" s="1151"/>
      <c r="B47" s="2506"/>
      <c r="C47" s="766" t="str">
        <f>F!C87</f>
        <v>25-50% of the vegetated cover, in the AA or along its water edge (whichever has more).</v>
      </c>
      <c r="D47" s="558">
        <f>F!D87</f>
        <v>0</v>
      </c>
      <c r="E47" s="76">
        <v>2</v>
      </c>
      <c r="F47" s="76">
        <f>D47*E47</f>
        <v>0</v>
      </c>
      <c r="G47" s="192"/>
      <c r="H47" s="2266"/>
      <c r="I47" s="64"/>
    </row>
    <row r="48" spans="1:11" x14ac:dyDescent="0.2">
      <c r="A48" s="1151"/>
      <c r="B48" s="2506"/>
      <c r="C48" s="766" t="str">
        <f>F!C88</f>
        <v>50-75% of the vegetated cover, in the AA or along its water edge (whichever has more).</v>
      </c>
      <c r="D48" s="558">
        <f>F!D88</f>
        <v>0</v>
      </c>
      <c r="E48" s="76">
        <v>3</v>
      </c>
      <c r="F48" s="76">
        <f>D48*E48</f>
        <v>0</v>
      </c>
      <c r="G48" s="192"/>
      <c r="H48" s="2266"/>
      <c r="I48" s="64"/>
    </row>
    <row r="49" spans="1:9" ht="17.25" thickBot="1" x14ac:dyDescent="0.25">
      <c r="A49" s="1151"/>
      <c r="B49" s="2509"/>
      <c r="C49" s="1356" t="str">
        <f>F!C89</f>
        <v>&gt;75% of the vegetated cover, in the AA or along its water edge (whichever has more).</v>
      </c>
      <c r="D49" s="557">
        <f>F!D89</f>
        <v>0</v>
      </c>
      <c r="E49" s="77">
        <v>4</v>
      </c>
      <c r="F49" s="79">
        <f>D49*E49</f>
        <v>0</v>
      </c>
      <c r="G49" s="211"/>
      <c r="H49" s="2266"/>
      <c r="I49" s="282"/>
    </row>
    <row r="50" spans="1:9" ht="43.5" customHeight="1" thickBot="1" x14ac:dyDescent="0.25">
      <c r="A50" s="1153" t="str">
        <f>F!A107</f>
        <v>F17</v>
      </c>
      <c r="B50" s="2246"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271" t="s">
        <v>1690</v>
      </c>
      <c r="I50" s="283" t="s">
        <v>1691</v>
      </c>
    </row>
    <row r="51" spans="1:9" ht="38.25" x14ac:dyDescent="0.2">
      <c r="A51" s="1151"/>
      <c r="B51" s="2247"/>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266"/>
      <c r="I51" s="64"/>
    </row>
    <row r="52" spans="1:9" ht="25.5" x14ac:dyDescent="0.2">
      <c r="A52" s="1151"/>
      <c r="B52" s="2247"/>
      <c r="C52" s="281" t="str">
        <f>F!C109</f>
        <v>Slightly bare ground (5-20% bare between plants) is visible in places, and those areas comprise less than 5% of the unflooded parts of the AA.</v>
      </c>
      <c r="D52" s="558">
        <f>F!D109</f>
        <v>0</v>
      </c>
      <c r="E52" s="76">
        <v>2</v>
      </c>
      <c r="F52" s="76">
        <f>D52*E52</f>
        <v>0</v>
      </c>
      <c r="G52" s="192"/>
      <c r="H52" s="2266"/>
      <c r="I52" s="64"/>
    </row>
    <row r="53" spans="1:9" ht="25.5" x14ac:dyDescent="0.2">
      <c r="A53" s="1151"/>
      <c r="B53" s="2247"/>
      <c r="C53" s="281" t="str">
        <f>F!C110</f>
        <v xml:space="preserve">Slightly bare ground (5-20% bare between plants) comprises more than 5% of the unflooded parts of the AA, </v>
      </c>
      <c r="D53" s="558">
        <f>F!D110</f>
        <v>0</v>
      </c>
      <c r="E53" s="76">
        <v>1</v>
      </c>
      <c r="F53" s="76">
        <f>D53*E53</f>
        <v>0</v>
      </c>
      <c r="G53" s="192"/>
      <c r="H53" s="2266"/>
      <c r="I53" s="64"/>
    </row>
    <row r="54" spans="1:9" ht="25.5" x14ac:dyDescent="0.2">
      <c r="A54" s="1151"/>
      <c r="B54" s="2247"/>
      <c r="C54" s="281" t="str">
        <f>F!C111</f>
        <v>Very bare ground (20-50% bare between plants) comprises more than 5% of the unflooded parts of the AA. </v>
      </c>
      <c r="D54" s="558">
        <f>F!D111</f>
        <v>0</v>
      </c>
      <c r="E54" s="79">
        <v>0</v>
      </c>
      <c r="F54" s="79">
        <f>D54*E54</f>
        <v>0</v>
      </c>
      <c r="G54" s="211"/>
      <c r="H54" s="2266"/>
      <c r="I54" s="64"/>
    </row>
    <row r="55" spans="1:9" ht="26.25" thickBot="1" x14ac:dyDescent="0.25">
      <c r="A55" s="1152"/>
      <c r="B55" s="2248"/>
      <c r="C55" s="249" t="str">
        <f>F!C112</f>
        <v>Not applicable. Surface water (either open or obscured by emergent plants) covers all of the AA all the time.</v>
      </c>
      <c r="D55" s="794">
        <f>F!D112</f>
        <v>0</v>
      </c>
      <c r="E55" s="77"/>
      <c r="F55" s="77"/>
      <c r="G55" s="193"/>
      <c r="H55" s="2267"/>
      <c r="I55" s="64"/>
    </row>
    <row r="56" spans="1:9" ht="26.25" thickBot="1" x14ac:dyDescent="0.25">
      <c r="A56" s="1153" t="str">
        <f>F!A128</f>
        <v>F21</v>
      </c>
      <c r="B56" s="2246" t="str">
        <f>F!B128</f>
        <v>Soil Texture [WS, SFTS, PR, NR,WFR, CSP, CC, APP, PH, Sens]</v>
      </c>
      <c r="C56" s="853" t="str">
        <f>F!C128</f>
        <v>In parts of the AA that lack persistent water, the texture of soil in the uppermost (&lt;20 cm) layer is mostly:</v>
      </c>
      <c r="D56" s="801"/>
      <c r="E56" s="80"/>
      <c r="F56" s="80"/>
      <c r="G56" s="165">
        <f>IF((D61=1),"",MAX(F57:F61)/MAX(E57:E61))</f>
        <v>0</v>
      </c>
      <c r="H56" s="2271" t="s">
        <v>8911</v>
      </c>
      <c r="I56" s="283" t="s">
        <v>1617</v>
      </c>
    </row>
    <row r="57" spans="1:9" ht="25.5" x14ac:dyDescent="0.2">
      <c r="A57" s="1151"/>
      <c r="B57" s="2247"/>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266"/>
      <c r="I57" s="64"/>
    </row>
    <row r="58" spans="1:9" ht="25.5" x14ac:dyDescent="0.2">
      <c r="A58" s="1151"/>
      <c r="B58" s="2247"/>
      <c r="C58" s="281" t="str">
        <f>F!C130</f>
        <v>Fines: includes silt, clay, silt, soils that make a ribbon longer than 2 cm when moistened, rolled, squeezed, and extended between thumb and forefinger.</v>
      </c>
      <c r="D58" s="558">
        <f>F!D130</f>
        <v>0</v>
      </c>
      <c r="E58" s="76">
        <v>2</v>
      </c>
      <c r="F58" s="79">
        <f>D58*E58</f>
        <v>0</v>
      </c>
      <c r="G58" s="192"/>
      <c r="H58" s="2266"/>
      <c r="I58" s="64"/>
    </row>
    <row r="59" spans="1:9" x14ac:dyDescent="0.2">
      <c r="A59" s="1151"/>
      <c r="B59" s="2247"/>
      <c r="C59" s="281" t="str">
        <f>F!C131</f>
        <v>Deep Peat, to 40 cm (16 inch) depth or greater.</v>
      </c>
      <c r="D59" s="558">
        <f>F!D131</f>
        <v>0</v>
      </c>
      <c r="E59" s="76">
        <v>2</v>
      </c>
      <c r="F59" s="79">
        <f>D59*E59</f>
        <v>0</v>
      </c>
      <c r="G59" s="192"/>
      <c r="H59" s="2266"/>
      <c r="I59" s="64"/>
    </row>
    <row r="60" spans="1:9" x14ac:dyDescent="0.2">
      <c r="A60" s="1151"/>
      <c r="B60" s="2247"/>
      <c r="C60" s="281" t="str">
        <f>F!C132</f>
        <v xml:space="preserve">Shallow Peat or organic &lt;40 cm deep. </v>
      </c>
      <c r="D60" s="558">
        <f>F!D132</f>
        <v>0</v>
      </c>
      <c r="E60" s="76">
        <v>2</v>
      </c>
      <c r="F60" s="79">
        <f>D60*E60</f>
        <v>0</v>
      </c>
      <c r="G60" s="192"/>
      <c r="H60" s="2266"/>
      <c r="I60" s="64"/>
    </row>
    <row r="61" spans="1:9" ht="26.25" thickBot="1" x14ac:dyDescent="0.25">
      <c r="A61" s="1152"/>
      <c r="B61" s="2248"/>
      <c r="C61" s="249" t="str">
        <f>F!C133</f>
        <v>Coarse: includes sand, loamy sand, gravel, cobble, soils that do not make a ribbon when moistened, rolled, squeezed, and extended between thumb and forefinger.</v>
      </c>
      <c r="D61" s="794">
        <f>F!D133</f>
        <v>0</v>
      </c>
      <c r="E61" s="77">
        <v>0</v>
      </c>
      <c r="F61" s="77">
        <f>D61*E61</f>
        <v>0</v>
      </c>
      <c r="G61" s="193"/>
      <c r="H61" s="2267"/>
      <c r="I61" s="282"/>
    </row>
    <row r="62" spans="1:9" ht="34.5" customHeight="1" thickBot="1" x14ac:dyDescent="0.25">
      <c r="A62" s="1173" t="str">
        <f>F!A135</f>
        <v>F22</v>
      </c>
      <c r="B62" s="2246"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v>
      </c>
      <c r="H62" s="2266" t="s">
        <v>1692</v>
      </c>
      <c r="I62" s="283" t="s">
        <v>1618</v>
      </c>
    </row>
    <row r="63" spans="1:9" x14ac:dyDescent="0.2">
      <c r="A63" s="1151"/>
      <c r="B63" s="2247"/>
      <c r="C63" s="281" t="str">
        <f>F!C136</f>
        <v xml:space="preserve">None, or &lt;0.01 hectare and &lt;1% of the AA. </v>
      </c>
      <c r="D63" s="558">
        <f>F!D136</f>
        <v>0</v>
      </c>
      <c r="E63" s="76">
        <v>1</v>
      </c>
      <c r="F63" s="76">
        <f>D63*E63</f>
        <v>0</v>
      </c>
      <c r="G63" s="191"/>
      <c r="H63" s="2532"/>
      <c r="I63" s="64"/>
    </row>
    <row r="64" spans="1:9" x14ac:dyDescent="0.2">
      <c r="A64" s="1151"/>
      <c r="B64" s="2247"/>
      <c r="C64" s="281" t="str">
        <f>F!C137</f>
        <v>1-20% of the AA, or &lt;1% but &gt;0.01 ha.</v>
      </c>
      <c r="D64" s="558">
        <f>F!D137</f>
        <v>0</v>
      </c>
      <c r="E64" s="76">
        <v>4</v>
      </c>
      <c r="F64" s="76">
        <f>D64*E64</f>
        <v>0</v>
      </c>
      <c r="G64" s="192"/>
      <c r="H64" s="2532"/>
      <c r="I64" s="64"/>
    </row>
    <row r="65" spans="1:9" x14ac:dyDescent="0.2">
      <c r="A65" s="1151"/>
      <c r="B65" s="2247"/>
      <c r="C65" s="281" t="str">
        <f>F!C138</f>
        <v>20-50% of the AA.</v>
      </c>
      <c r="D65" s="558">
        <f>F!D138</f>
        <v>0</v>
      </c>
      <c r="E65" s="76">
        <v>3</v>
      </c>
      <c r="F65" s="76">
        <f>D65*E65</f>
        <v>0</v>
      </c>
      <c r="G65" s="192"/>
      <c r="H65" s="2532"/>
      <c r="I65" s="64"/>
    </row>
    <row r="66" spans="1:9" x14ac:dyDescent="0.2">
      <c r="A66" s="1151"/>
      <c r="B66" s="2247"/>
      <c r="C66" s="281" t="str">
        <f>F!C139</f>
        <v>50-95% of the AA.</v>
      </c>
      <c r="D66" s="558">
        <f>F!D139</f>
        <v>0</v>
      </c>
      <c r="E66" s="76">
        <v>2</v>
      </c>
      <c r="F66" s="76">
        <f>D66*E66</f>
        <v>0</v>
      </c>
      <c r="G66" s="192"/>
      <c r="H66" s="2532"/>
      <c r="I66" s="64"/>
    </row>
    <row r="67" spans="1:9" ht="17.25" thickBot="1" x14ac:dyDescent="0.25">
      <c r="A67" s="1151"/>
      <c r="B67" s="2248"/>
      <c r="C67" s="151" t="str">
        <f>F!C140</f>
        <v xml:space="preserve">&gt;95% of the AA. </v>
      </c>
      <c r="D67" s="557">
        <f>F!D140</f>
        <v>0</v>
      </c>
      <c r="E67" s="79">
        <v>0</v>
      </c>
      <c r="F67" s="79">
        <f>D67*E67</f>
        <v>0</v>
      </c>
      <c r="G67" s="211"/>
      <c r="H67" s="2532"/>
      <c r="I67" s="282"/>
    </row>
    <row r="68" spans="1:9" ht="26.25" thickBot="1" x14ac:dyDescent="0.25">
      <c r="A68" s="1153" t="str">
        <f>F!A149</f>
        <v>F24</v>
      </c>
      <c r="B68" s="2246"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271" t="s">
        <v>1693</v>
      </c>
      <c r="I68" s="64" t="s">
        <v>1620</v>
      </c>
    </row>
    <row r="69" spans="1:9" ht="25.5" x14ac:dyDescent="0.2">
      <c r="A69" s="1151"/>
      <c r="B69" s="2247"/>
      <c r="C69" s="281" t="str">
        <f>F!C150</f>
        <v xml:space="preserve">&lt;1% . In other words, all or nearly all of the AA is covered by water permanently or at least seasonally.  </v>
      </c>
      <c r="D69" s="558">
        <f>F!D150</f>
        <v>0</v>
      </c>
      <c r="E69" s="76">
        <v>6</v>
      </c>
      <c r="F69" s="76">
        <f t="shared" ref="F69:F80" si="1">D69*E69</f>
        <v>0</v>
      </c>
      <c r="G69" s="181"/>
      <c r="H69" s="2266"/>
      <c r="I69" s="64"/>
    </row>
    <row r="70" spans="1:9" x14ac:dyDescent="0.2">
      <c r="A70" s="1151"/>
      <c r="B70" s="2247"/>
      <c r="C70" s="281" t="str">
        <f>F!C151</f>
        <v>1-25% of the AA,  or &lt;1% but &gt;0.01 ha never contains surface water.</v>
      </c>
      <c r="D70" s="558">
        <f>F!D151</f>
        <v>0</v>
      </c>
      <c r="E70" s="76">
        <v>5</v>
      </c>
      <c r="F70" s="76">
        <f t="shared" si="1"/>
        <v>0</v>
      </c>
      <c r="G70" s="181"/>
      <c r="H70" s="2266"/>
      <c r="I70" s="64"/>
    </row>
    <row r="71" spans="1:9" x14ac:dyDescent="0.2">
      <c r="A71" s="1151"/>
      <c r="B71" s="2247"/>
      <c r="C71" s="281" t="str">
        <f>F!C152</f>
        <v>25-50% of the AA never contains surface water.</v>
      </c>
      <c r="D71" s="558">
        <f>F!D152</f>
        <v>0</v>
      </c>
      <c r="E71" s="76">
        <v>4</v>
      </c>
      <c r="F71" s="76">
        <f t="shared" si="1"/>
        <v>0</v>
      </c>
      <c r="G71" s="181"/>
      <c r="H71" s="2266"/>
      <c r="I71" s="64"/>
    </row>
    <row r="72" spans="1:9" x14ac:dyDescent="0.2">
      <c r="A72" s="1151"/>
      <c r="B72" s="2247"/>
      <c r="C72" s="281" t="str">
        <f>F!C153</f>
        <v>50-75% of the AA never contains surface water.</v>
      </c>
      <c r="D72" s="558">
        <f>F!D153</f>
        <v>0</v>
      </c>
      <c r="E72" s="76">
        <v>3</v>
      </c>
      <c r="F72" s="76">
        <f t="shared" si="1"/>
        <v>0</v>
      </c>
      <c r="G72" s="181"/>
      <c r="H72" s="2266"/>
      <c r="I72" s="64"/>
    </row>
    <row r="73" spans="1:9" ht="25.5" x14ac:dyDescent="0.2">
      <c r="A73" s="1151"/>
      <c r="B73" s="2247"/>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266"/>
      <c r="I73" s="64"/>
    </row>
    <row r="74" spans="1:9" ht="26.25" thickBot="1" x14ac:dyDescent="0.25">
      <c r="A74" s="1152"/>
      <c r="B74" s="2248"/>
      <c r="C74" s="249" t="str">
        <f>F!C155</f>
        <v>&gt; 99%. AND during most years there is never more than 0.1 ha of ponded surface water within the AA. Enter "1" and SKIP to F43 (Channel Connection).</v>
      </c>
      <c r="D74" s="794">
        <f>F!D155</f>
        <v>0</v>
      </c>
      <c r="E74" s="77">
        <v>0</v>
      </c>
      <c r="F74" s="77">
        <f t="shared" si="1"/>
        <v>0</v>
      </c>
      <c r="G74" s="182"/>
      <c r="H74" s="2267"/>
      <c r="I74" s="282"/>
    </row>
    <row r="75" spans="1:9" ht="26.25" thickBot="1" x14ac:dyDescent="0.25">
      <c r="A75" s="2262" t="str">
        <f>F!A158</f>
        <v>F25</v>
      </c>
      <c r="B75" s="2508"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266" t="s">
        <v>8968</v>
      </c>
      <c r="I75" s="64" t="s">
        <v>1694</v>
      </c>
    </row>
    <row r="76" spans="1:9" x14ac:dyDescent="0.2">
      <c r="A76" s="2262"/>
      <c r="B76" s="2506"/>
      <c r="C76" s="766" t="str">
        <f>F!C159</f>
        <v>&lt;5% of the water is shaded, or no surface water is present then.</v>
      </c>
      <c r="D76" s="558">
        <f>F!D159</f>
        <v>0</v>
      </c>
      <c r="E76" s="76">
        <v>5</v>
      </c>
      <c r="F76" s="76">
        <f t="shared" si="1"/>
        <v>0</v>
      </c>
      <c r="G76" s="192"/>
      <c r="H76" s="2266"/>
      <c r="I76" s="64"/>
    </row>
    <row r="77" spans="1:9" x14ac:dyDescent="0.2">
      <c r="A77" s="2262"/>
      <c r="B77" s="2506"/>
      <c r="C77" s="766" t="str">
        <f>F!C160</f>
        <v>5-25% of the water is shaded.</v>
      </c>
      <c r="D77" s="558">
        <f>F!D160</f>
        <v>0</v>
      </c>
      <c r="E77" s="76">
        <v>4</v>
      </c>
      <c r="F77" s="76">
        <f t="shared" si="1"/>
        <v>0</v>
      </c>
      <c r="G77" s="192"/>
      <c r="H77" s="2266"/>
      <c r="I77" s="64"/>
    </row>
    <row r="78" spans="1:9" x14ac:dyDescent="0.2">
      <c r="A78" s="2262"/>
      <c r="B78" s="2506"/>
      <c r="C78" s="766" t="str">
        <f>F!C161</f>
        <v>25-50% of the water is shaded.</v>
      </c>
      <c r="D78" s="558">
        <f>F!D161</f>
        <v>0</v>
      </c>
      <c r="E78" s="76">
        <v>3</v>
      </c>
      <c r="F78" s="76">
        <f t="shared" si="1"/>
        <v>0</v>
      </c>
      <c r="G78" s="192"/>
      <c r="H78" s="2266"/>
      <c r="I78" s="64"/>
    </row>
    <row r="79" spans="1:9" x14ac:dyDescent="0.2">
      <c r="A79" s="2262"/>
      <c r="B79" s="2506"/>
      <c r="C79" s="766" t="str">
        <f>F!C162</f>
        <v>50-75% of the water is shaded.</v>
      </c>
      <c r="D79" s="558">
        <f>F!D162</f>
        <v>0</v>
      </c>
      <c r="E79" s="76">
        <v>1</v>
      </c>
      <c r="F79" s="76">
        <f t="shared" si="1"/>
        <v>0</v>
      </c>
      <c r="G79" s="192"/>
      <c r="H79" s="2266"/>
      <c r="I79" s="64"/>
    </row>
    <row r="80" spans="1:9" ht="17.25" thickBot="1" x14ac:dyDescent="0.25">
      <c r="A80" s="2262"/>
      <c r="B80" s="2509"/>
      <c r="C80" s="1356" t="str">
        <f>F!C163</f>
        <v>&gt;75% of the water is shaded.</v>
      </c>
      <c r="D80" s="557">
        <f>F!D163</f>
        <v>0</v>
      </c>
      <c r="E80" s="79">
        <v>0</v>
      </c>
      <c r="F80" s="79">
        <f t="shared" si="1"/>
        <v>0</v>
      </c>
      <c r="G80" s="211"/>
      <c r="H80" s="2267"/>
      <c r="I80" s="64"/>
    </row>
    <row r="81" spans="1:9" ht="26.25" thickBot="1" x14ac:dyDescent="0.25">
      <c r="A81" s="1150" t="str">
        <f>F!A168</f>
        <v>F28</v>
      </c>
      <c r="B81" s="250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271" t="s">
        <v>8638</v>
      </c>
      <c r="I81" s="283" t="s">
        <v>9145</v>
      </c>
    </row>
    <row r="82" spans="1:9" x14ac:dyDescent="0.2">
      <c r="A82" s="1151"/>
      <c r="B82" s="2506"/>
      <c r="C82" s="150" t="str">
        <f>F!C169</f>
        <v>&lt;10 cm change (stable or nearly so).</v>
      </c>
      <c r="D82" s="401">
        <f>F!D169</f>
        <v>0</v>
      </c>
      <c r="E82" s="76">
        <v>0</v>
      </c>
      <c r="F82" s="76">
        <f>D82*E82</f>
        <v>0</v>
      </c>
      <c r="G82" s="191"/>
      <c r="H82" s="2266"/>
      <c r="I82" s="64"/>
    </row>
    <row r="83" spans="1:9" x14ac:dyDescent="0.2">
      <c r="A83" s="1151"/>
      <c r="B83" s="2506"/>
      <c r="C83" s="281" t="str">
        <f>F!C170</f>
        <v>10 cm - 50 cm change.</v>
      </c>
      <c r="D83" s="558">
        <f>F!D170</f>
        <v>0</v>
      </c>
      <c r="E83" s="76">
        <v>2</v>
      </c>
      <c r="F83" s="76">
        <f>D83*E83</f>
        <v>0</v>
      </c>
      <c r="G83" s="192"/>
      <c r="H83" s="2266"/>
      <c r="I83" s="64"/>
    </row>
    <row r="84" spans="1:9" x14ac:dyDescent="0.2">
      <c r="A84" s="1151"/>
      <c r="B84" s="2506"/>
      <c r="C84" s="281" t="str">
        <f>F!C171</f>
        <v>0.5 - 1 m change.</v>
      </c>
      <c r="D84" s="558">
        <f>F!D171</f>
        <v>0</v>
      </c>
      <c r="E84" s="76">
        <v>3</v>
      </c>
      <c r="F84" s="76">
        <f>D84*E84</f>
        <v>0</v>
      </c>
      <c r="G84" s="192"/>
      <c r="H84" s="2266"/>
      <c r="I84" s="64"/>
    </row>
    <row r="85" spans="1:9" x14ac:dyDescent="0.2">
      <c r="A85" s="1151"/>
      <c r="B85" s="2506"/>
      <c r="C85" s="281" t="str">
        <f>F!C172</f>
        <v>1-2 m change.</v>
      </c>
      <c r="D85" s="558">
        <f>F!D172</f>
        <v>0</v>
      </c>
      <c r="E85" s="76">
        <v>4</v>
      </c>
      <c r="F85" s="76">
        <f>D85*E85</f>
        <v>0</v>
      </c>
      <c r="G85" s="192"/>
      <c r="H85" s="2266"/>
      <c r="I85" s="2253"/>
    </row>
    <row r="86" spans="1:9" ht="17.25" thickBot="1" x14ac:dyDescent="0.25">
      <c r="A86" s="1152"/>
      <c r="B86" s="2507"/>
      <c r="C86" s="249" t="str">
        <f>F!C173</f>
        <v>&gt;2 m change.</v>
      </c>
      <c r="D86" s="794">
        <f>F!D173</f>
        <v>0</v>
      </c>
      <c r="E86" s="77">
        <v>1</v>
      </c>
      <c r="F86" s="77">
        <f>D86*E86</f>
        <v>0</v>
      </c>
      <c r="G86" s="193"/>
      <c r="H86" s="2267"/>
      <c r="I86" s="2254"/>
    </row>
    <row r="87" spans="1:9" ht="26.25" thickBot="1" x14ac:dyDescent="0.25">
      <c r="A87" s="1151" t="str">
        <f>F!A175</f>
        <v>F29</v>
      </c>
      <c r="B87" s="2508"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v>
      </c>
      <c r="H87" s="2266" t="s">
        <v>8639</v>
      </c>
      <c r="I87" s="283" t="s">
        <v>1624</v>
      </c>
    </row>
    <row r="88" spans="1:9" x14ac:dyDescent="0.2">
      <c r="A88" s="1151"/>
      <c r="B88" s="2506"/>
      <c r="C88" s="150" t="str">
        <f>F!C176</f>
        <v>&lt;10 cm deep (but &gt;0).</v>
      </c>
      <c r="D88" s="401">
        <f>F!D176</f>
        <v>0</v>
      </c>
      <c r="E88" s="76">
        <v>2</v>
      </c>
      <c r="F88" s="76">
        <f>D88*E88</f>
        <v>0</v>
      </c>
      <c r="G88" s="191"/>
      <c r="H88" s="2532"/>
      <c r="I88" s="64"/>
    </row>
    <row r="89" spans="1:9" x14ac:dyDescent="0.2">
      <c r="A89" s="1151"/>
      <c r="B89" s="2506"/>
      <c r="C89" s="281" t="str">
        <f>F!C177</f>
        <v>10 - 50 cm deep.</v>
      </c>
      <c r="D89" s="558">
        <f>F!D177</f>
        <v>0</v>
      </c>
      <c r="E89" s="76">
        <v>4</v>
      </c>
      <c r="F89" s="76">
        <f>D89*E89</f>
        <v>0</v>
      </c>
      <c r="G89" s="192"/>
      <c r="H89" s="2532"/>
      <c r="I89" s="64"/>
    </row>
    <row r="90" spans="1:9" x14ac:dyDescent="0.2">
      <c r="A90" s="1151"/>
      <c r="B90" s="2506"/>
      <c r="C90" s="281" t="str">
        <f>F!C178</f>
        <v>0.5 - 1 m deep.</v>
      </c>
      <c r="D90" s="558">
        <f>F!D178</f>
        <v>0</v>
      </c>
      <c r="E90" s="76">
        <v>3</v>
      </c>
      <c r="F90" s="76">
        <f>D90*E90</f>
        <v>0</v>
      </c>
      <c r="G90" s="192"/>
      <c r="H90" s="2532"/>
      <c r="I90" s="64"/>
    </row>
    <row r="91" spans="1:9" x14ac:dyDescent="0.2">
      <c r="A91" s="1151"/>
      <c r="B91" s="2506"/>
      <c r="C91" s="281" t="str">
        <f>F!C179</f>
        <v>1 - 2 m deep.</v>
      </c>
      <c r="D91" s="558">
        <f>F!D179</f>
        <v>0</v>
      </c>
      <c r="E91" s="76">
        <v>1</v>
      </c>
      <c r="F91" s="76">
        <f>D91*E91</f>
        <v>0</v>
      </c>
      <c r="G91" s="192"/>
      <c r="H91" s="2532"/>
      <c r="I91" s="64"/>
    </row>
    <row r="92" spans="1:9" ht="17.25" thickBot="1" x14ac:dyDescent="0.25">
      <c r="A92" s="1151"/>
      <c r="B92" s="2509"/>
      <c r="C92" s="151" t="str">
        <f>F!C180</f>
        <v>&gt;2 m deep. True for many fringe wetlands.</v>
      </c>
      <c r="D92" s="557">
        <f>F!D180</f>
        <v>0</v>
      </c>
      <c r="E92" s="79">
        <v>0</v>
      </c>
      <c r="F92" s="79">
        <f>D92*E92</f>
        <v>0</v>
      </c>
      <c r="G92" s="211"/>
      <c r="H92" s="2533"/>
      <c r="I92" s="282"/>
    </row>
    <row r="93" spans="1:9" ht="26.25" thickBot="1" x14ac:dyDescent="0.25">
      <c r="A93" s="1150" t="str">
        <f>F!A217</f>
        <v>F36</v>
      </c>
      <c r="B93" s="250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271" t="s">
        <v>8640</v>
      </c>
      <c r="I93" s="283" t="s">
        <v>1695</v>
      </c>
    </row>
    <row r="94" spans="1:9" ht="25.5" x14ac:dyDescent="0.2">
      <c r="A94" s="1151"/>
      <c r="B94" s="2506"/>
      <c r="C94" s="727" t="str">
        <f>F!C218</f>
        <v>Scattered. More than 30% of such vegetation forms small islands or corridors surrounded by water.</v>
      </c>
      <c r="D94" s="401">
        <f>F!D218</f>
        <v>0</v>
      </c>
      <c r="E94" s="76">
        <v>3</v>
      </c>
      <c r="F94" s="76">
        <f>D94*E94</f>
        <v>0</v>
      </c>
      <c r="G94" s="181"/>
      <c r="H94" s="2532"/>
      <c r="I94" s="64"/>
    </row>
    <row r="95" spans="1:9" x14ac:dyDescent="0.2">
      <c r="A95" s="1151"/>
      <c r="B95" s="2506"/>
      <c r="C95" s="766" t="str">
        <f>F!C219</f>
        <v>Intermediate.</v>
      </c>
      <c r="D95" s="558">
        <f>F!D219</f>
        <v>0</v>
      </c>
      <c r="E95" s="76">
        <v>2</v>
      </c>
      <c r="F95" s="76">
        <f>D95*E95</f>
        <v>0</v>
      </c>
      <c r="G95" s="181"/>
      <c r="H95" s="2532"/>
      <c r="I95" s="64"/>
    </row>
    <row r="96" spans="1:9" ht="26.25" thickBot="1" x14ac:dyDescent="0.25">
      <c r="A96" s="1152"/>
      <c r="B96" s="2507"/>
      <c r="C96" s="767" t="str">
        <f>F!C220</f>
        <v>Clumped. More than 70% of such vegetation is in bands along the wetland perimeter or is clumped at one or a few sides of the surface water area.</v>
      </c>
      <c r="D96" s="794">
        <f>F!D220</f>
        <v>0</v>
      </c>
      <c r="E96" s="77">
        <v>0</v>
      </c>
      <c r="F96" s="77">
        <f>D96*E96</f>
        <v>0</v>
      </c>
      <c r="G96" s="182"/>
      <c r="H96" s="2532"/>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08"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266" t="s">
        <v>8837</v>
      </c>
      <c r="I98" s="64" t="s">
        <v>1626</v>
      </c>
    </row>
    <row r="99" spans="1:9" x14ac:dyDescent="0.2">
      <c r="A99" s="1151"/>
      <c r="B99" s="2506"/>
      <c r="C99" s="766" t="str">
        <f>F!C233</f>
        <v>Persistent (surface water flows out for &gt;9 months/year).</v>
      </c>
      <c r="D99" s="558">
        <f>F!D233</f>
        <v>0</v>
      </c>
      <c r="E99" s="76">
        <v>3</v>
      </c>
      <c r="F99" s="76">
        <f>D99*E99</f>
        <v>0</v>
      </c>
      <c r="G99" s="192"/>
      <c r="H99" s="2266"/>
      <c r="I99" s="64"/>
    </row>
    <row r="100" spans="1:9" ht="25.5" x14ac:dyDescent="0.2">
      <c r="A100" s="1151"/>
      <c r="B100" s="2506"/>
      <c r="C100" s="766" t="str">
        <f>F!C234</f>
        <v>Seasonal (surface water flows out for 14 days to 9 months/year, not necessarily consecutive).</v>
      </c>
      <c r="D100" s="558">
        <f>F!D234</f>
        <v>0</v>
      </c>
      <c r="E100" s="76">
        <v>4</v>
      </c>
      <c r="F100" s="76">
        <f>D100*E100</f>
        <v>0</v>
      </c>
      <c r="G100" s="192"/>
      <c r="H100" s="2266"/>
      <c r="I100" s="64"/>
    </row>
    <row r="101" spans="1:9" x14ac:dyDescent="0.2">
      <c r="A101" s="1151"/>
      <c r="B101" s="2506"/>
      <c r="C101" s="766" t="str">
        <f>F!C235</f>
        <v>Temporary (surface water flows out for &lt;14 days, not necessarily consecutive).</v>
      </c>
      <c r="D101" s="558">
        <f>F!D235</f>
        <v>0</v>
      </c>
      <c r="E101" s="76">
        <v>2</v>
      </c>
      <c r="F101" s="76">
        <f>D101*E101</f>
        <v>0</v>
      </c>
      <c r="G101" s="192"/>
      <c r="H101" s="2266"/>
      <c r="I101" s="64"/>
    </row>
    <row r="102" spans="1:9" ht="51" x14ac:dyDescent="0.2">
      <c r="A102" s="1151"/>
      <c r="B102" s="250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266"/>
      <c r="I102" s="64"/>
    </row>
    <row r="103" spans="1:9" ht="39" thickBot="1" x14ac:dyDescent="0.25">
      <c r="A103" s="1151"/>
      <c r="B103" s="2509"/>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266"/>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1697</v>
      </c>
      <c r="I104" s="4" t="s">
        <v>1698</v>
      </c>
    </row>
    <row r="105" spans="1:9" x14ac:dyDescent="0.2">
      <c r="A105" s="1150" t="str">
        <f>F!A251</f>
        <v>F47</v>
      </c>
      <c r="B105" s="2505" t="str">
        <f>F!B251</f>
        <v>Beaver Probability [SFTS, CC, APP, FA, FR, AM, WBF, WBN, RSB, KMH, PH, Sens]</v>
      </c>
      <c r="C105" s="304" t="str">
        <f>F!C251</f>
        <v>Use of the AA by beaver during the past 5 years is (select most applicable ONE):</v>
      </c>
      <c r="D105" s="801"/>
      <c r="E105" s="158"/>
      <c r="F105" s="161"/>
      <c r="G105" s="1363">
        <f>MAX(F106:F108)/MAX(E106:E108)</f>
        <v>0</v>
      </c>
      <c r="H105" s="2271" t="s">
        <v>8969</v>
      </c>
      <c r="I105" s="283" t="s">
        <v>1627</v>
      </c>
    </row>
    <row r="106" spans="1:9" ht="25.5" x14ac:dyDescent="0.2">
      <c r="A106" s="1151"/>
      <c r="B106" s="2506"/>
      <c r="C106" s="766" t="str">
        <f>F!C252</f>
        <v>Evident from direct observation or presence of gnawed limbs, dams, tracks, dens, lodges, or extensive stands of water-killed trees (snags).</v>
      </c>
      <c r="D106" s="558">
        <f>F!D252</f>
        <v>0</v>
      </c>
      <c r="E106" s="76">
        <v>3</v>
      </c>
      <c r="F106" s="79">
        <f>D106*E106</f>
        <v>0</v>
      </c>
      <c r="G106" s="191"/>
      <c r="H106" s="2266"/>
      <c r="I106" s="64"/>
    </row>
    <row r="107" spans="1:9" ht="51" x14ac:dyDescent="0.2">
      <c r="A107" s="1151"/>
      <c r="B107" s="250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266"/>
      <c r="I107" s="64"/>
    </row>
    <row r="108" spans="1:9" ht="26.25" thickBot="1" x14ac:dyDescent="0.25">
      <c r="A108" s="1152"/>
      <c r="B108" s="250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267"/>
      <c r="I108" s="282"/>
    </row>
    <row r="109" spans="1:9" ht="17.25" thickBot="1" x14ac:dyDescent="0.25">
      <c r="A109" s="1175" t="str">
        <f>F!A255</f>
        <v>F48</v>
      </c>
      <c r="B109" s="2508" t="str">
        <f>F!B255</f>
        <v>Groundwater Strength of Evidence [WS, SFTS, PRb, NR, APP, FA, FR, AM]</v>
      </c>
      <c r="C109" s="727" t="str">
        <f>F!C255</f>
        <v>Select first applicable choice:</v>
      </c>
      <c r="D109" s="802"/>
      <c r="E109" s="75"/>
      <c r="F109" s="78"/>
      <c r="G109" s="165">
        <f>MAX(F110:F112)/MAX(E110:E112)</f>
        <v>0</v>
      </c>
      <c r="H109" s="2266" t="s">
        <v>8970</v>
      </c>
      <c r="I109" s="64" t="s">
        <v>1699</v>
      </c>
    </row>
    <row r="110" spans="1:9" ht="45" customHeight="1" x14ac:dyDescent="0.2">
      <c r="A110" s="1175"/>
      <c r="B110" s="250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66"/>
      <c r="I110" s="64"/>
    </row>
    <row r="111" spans="1:9" ht="38.25" x14ac:dyDescent="0.2">
      <c r="A111" s="1175"/>
      <c r="B111" s="2506"/>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266"/>
      <c r="I111" s="64"/>
    </row>
    <row r="112" spans="1:9" ht="26.25" thickBot="1" x14ac:dyDescent="0.25">
      <c r="A112" s="1175"/>
      <c r="B112" s="2509"/>
      <c r="C112" s="1356" t="str">
        <f>F!C258</f>
        <v>Neither of above is true, although some groundwater may discharge to or flow through the AA. Or groundwater influx is unknown.</v>
      </c>
      <c r="D112" s="557">
        <f>F!D258</f>
        <v>0</v>
      </c>
      <c r="E112" s="79">
        <v>0</v>
      </c>
      <c r="F112" s="96">
        <f>D112*E112</f>
        <v>0</v>
      </c>
      <c r="G112" s="211"/>
      <c r="H112" s="2266"/>
      <c r="I112" s="64"/>
    </row>
    <row r="113" spans="1:9" ht="39" thickBot="1" x14ac:dyDescent="0.25">
      <c r="A113" s="1150" t="str">
        <f>F!A266</f>
        <v>F50</v>
      </c>
      <c r="B113" s="250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v>
      </c>
      <c r="H113" s="2271" t="s">
        <v>1700</v>
      </c>
      <c r="I113" s="283" t="s">
        <v>1701</v>
      </c>
    </row>
    <row r="114" spans="1:9" x14ac:dyDescent="0.2">
      <c r="A114" s="1151"/>
      <c r="B114" s="2506"/>
      <c r="C114" s="766" t="str">
        <f>F!C267</f>
        <v>&lt;5%.</v>
      </c>
      <c r="D114" s="558">
        <f>F!D267</f>
        <v>0</v>
      </c>
      <c r="E114" s="76">
        <v>0</v>
      </c>
      <c r="F114" s="96">
        <f>D114*E114</f>
        <v>0</v>
      </c>
      <c r="G114" s="191"/>
      <c r="H114" s="2266"/>
      <c r="I114" s="64"/>
    </row>
    <row r="115" spans="1:9" x14ac:dyDescent="0.2">
      <c r="A115" s="1151"/>
      <c r="B115" s="2506"/>
      <c r="C115" s="766" t="str">
        <f>F!C268</f>
        <v>5 to &lt;30%.</v>
      </c>
      <c r="D115" s="558">
        <f>F!D268</f>
        <v>0</v>
      </c>
      <c r="E115" s="76">
        <v>3</v>
      </c>
      <c r="F115" s="96">
        <f>D115*E115</f>
        <v>0</v>
      </c>
      <c r="G115" s="192"/>
      <c r="H115" s="2266"/>
      <c r="I115" s="64"/>
    </row>
    <row r="116" spans="1:9" x14ac:dyDescent="0.2">
      <c r="A116" s="1151"/>
      <c r="B116" s="2506"/>
      <c r="C116" s="766" t="str">
        <f>F!C269</f>
        <v>30 to &lt;60%.</v>
      </c>
      <c r="D116" s="558">
        <f>F!D269</f>
        <v>0</v>
      </c>
      <c r="E116" s="76">
        <v>3</v>
      </c>
      <c r="F116" s="96">
        <f>D116*E116</f>
        <v>0</v>
      </c>
      <c r="G116" s="192"/>
      <c r="H116" s="2266"/>
      <c r="I116" s="64"/>
    </row>
    <row r="117" spans="1:9" x14ac:dyDescent="0.2">
      <c r="A117" s="1151"/>
      <c r="B117" s="2506"/>
      <c r="C117" s="766" t="str">
        <f>F!C270</f>
        <v>60 to 90%.</v>
      </c>
      <c r="D117" s="558">
        <f>F!D270</f>
        <v>0</v>
      </c>
      <c r="E117" s="76">
        <v>2</v>
      </c>
      <c r="F117" s="96">
        <f>D117*E117</f>
        <v>0</v>
      </c>
      <c r="G117" s="192"/>
      <c r="H117" s="2266"/>
      <c r="I117" s="64"/>
    </row>
    <row r="118" spans="1:9" ht="17.25" thickBot="1" x14ac:dyDescent="0.25">
      <c r="A118" s="1152"/>
      <c r="B118" s="2507"/>
      <c r="C118" s="767" t="str">
        <f>F!C271</f>
        <v>&gt;90%, or all the area within 30 m of the AA edge is other wetlands. SKIP to F53.</v>
      </c>
      <c r="D118" s="794">
        <f>F!D271</f>
        <v>0</v>
      </c>
      <c r="E118" s="79">
        <v>1</v>
      </c>
      <c r="F118" s="98">
        <f>D118*E118</f>
        <v>0</v>
      </c>
      <c r="G118" s="193"/>
      <c r="H118" s="2267"/>
      <c r="I118" s="64"/>
    </row>
    <row r="119" spans="1:9" ht="39" customHeight="1" thickBot="1" x14ac:dyDescent="0.25">
      <c r="A119" s="1150" t="str">
        <f>F!A286</f>
        <v>F54</v>
      </c>
      <c r="B119" s="2246"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271" t="s">
        <v>1702</v>
      </c>
      <c r="I119" s="2252" t="s">
        <v>1628</v>
      </c>
    </row>
    <row r="120" spans="1:9" ht="25.5" x14ac:dyDescent="0.2">
      <c r="A120" s="1151"/>
      <c r="B120" s="2247"/>
      <c r="C120" s="766" t="str">
        <f>F!C287</f>
        <v>No. Also mark this if site was once tidal but within the past decade was converted to non-tidal by dyking.</v>
      </c>
      <c r="D120" s="558">
        <f>F!D287</f>
        <v>0</v>
      </c>
      <c r="E120" s="76">
        <v>4</v>
      </c>
      <c r="F120" s="96">
        <f>D120*E120</f>
        <v>0</v>
      </c>
      <c r="G120" s="191"/>
      <c r="H120" s="2266"/>
      <c r="I120" s="2253"/>
    </row>
    <row r="121" spans="1:9" x14ac:dyDescent="0.2">
      <c r="A121" s="1151"/>
      <c r="B121" s="2247"/>
      <c r="C121" s="766" t="str">
        <f>F!C288</f>
        <v xml:space="preserve">Yes, and created or expanded 20 - 100 years ago. </v>
      </c>
      <c r="D121" s="558">
        <f>F!D288</f>
        <v>0</v>
      </c>
      <c r="E121" s="76">
        <v>2</v>
      </c>
      <c r="F121" s="96">
        <f>D121*E121</f>
        <v>0</v>
      </c>
      <c r="G121" s="192"/>
      <c r="H121" s="2266"/>
      <c r="I121" s="2253"/>
    </row>
    <row r="122" spans="1:9" x14ac:dyDescent="0.2">
      <c r="A122" s="1151"/>
      <c r="B122" s="2247"/>
      <c r="C122" s="766" t="str">
        <f>F!C289</f>
        <v>Yes, and created or expanded 3-20 years ago.</v>
      </c>
      <c r="D122" s="558">
        <f>F!D289</f>
        <v>0</v>
      </c>
      <c r="E122" s="76">
        <v>0</v>
      </c>
      <c r="F122" s="96">
        <f>D122*E122</f>
        <v>0</v>
      </c>
      <c r="G122" s="192"/>
      <c r="H122" s="2266"/>
      <c r="I122" s="2253"/>
    </row>
    <row r="123" spans="1:9" x14ac:dyDescent="0.2">
      <c r="A123" s="1151"/>
      <c r="B123" s="2247"/>
      <c r="C123" s="766" t="str">
        <f>F!C290</f>
        <v>Yes, and created or expanded within last 3 years.</v>
      </c>
      <c r="D123" s="558">
        <f>F!D290</f>
        <v>0</v>
      </c>
      <c r="E123" s="76">
        <v>3</v>
      </c>
      <c r="F123" s="96">
        <f>D123*E123</f>
        <v>0</v>
      </c>
      <c r="G123" s="192"/>
      <c r="H123" s="2266"/>
      <c r="I123" s="2253"/>
    </row>
    <row r="124" spans="1:9" x14ac:dyDescent="0.2">
      <c r="A124" s="1151"/>
      <c r="B124" s="2247"/>
      <c r="C124" s="1356" t="str">
        <f>F!C291</f>
        <v>Yes, but time of origin or expansion unknown.</v>
      </c>
      <c r="D124" s="558">
        <f>F!D291</f>
        <v>0</v>
      </c>
      <c r="E124" s="76">
        <v>2</v>
      </c>
      <c r="F124" s="76">
        <f>D124*E124</f>
        <v>0</v>
      </c>
      <c r="G124" s="192"/>
      <c r="H124" s="2266"/>
      <c r="I124" s="2253"/>
    </row>
    <row r="125" spans="1:9" ht="17.25" thickBot="1" x14ac:dyDescent="0.25">
      <c r="A125" s="1151"/>
      <c r="B125" s="2247"/>
      <c r="C125" s="1356" t="str">
        <f>F!C292</f>
        <v>Unknown if new or expanded within 20 years or not.</v>
      </c>
      <c r="D125" s="557">
        <f>F!D292</f>
        <v>0</v>
      </c>
      <c r="E125" s="79"/>
      <c r="F125" s="79"/>
      <c r="G125" s="211"/>
      <c r="H125" s="2266"/>
      <c r="I125" s="2253"/>
    </row>
    <row r="126" spans="1:9" ht="25.5" customHeight="1" thickBot="1" x14ac:dyDescent="0.25">
      <c r="A126" s="2537" t="str">
        <f>F!A294</f>
        <v>F55</v>
      </c>
      <c r="B126" s="2246" t="str">
        <f>F!B294</f>
        <v>Fire History [WFR, CSP, PH, STR]</v>
      </c>
      <c r="C126" s="894" t="str">
        <f>F!C294</f>
        <v>More than 1% of the AA's previously vegetated area:</v>
      </c>
      <c r="D126" s="801"/>
      <c r="E126" s="80"/>
      <c r="F126" s="81"/>
      <c r="G126" s="672">
        <f>IF((D130=1),"",MAX(F127:F129)/MAX(E127:E129))</f>
        <v>0</v>
      </c>
      <c r="H126" s="2546" t="s">
        <v>8839</v>
      </c>
      <c r="I126" s="2252" t="s">
        <v>8490</v>
      </c>
    </row>
    <row r="127" spans="1:9" ht="23.25" customHeight="1" x14ac:dyDescent="0.2">
      <c r="A127" s="2538"/>
      <c r="B127" s="2247"/>
      <c r="C127" s="303" t="str">
        <f>F!C295</f>
        <v>Burned within past 5 years.</v>
      </c>
      <c r="D127" s="558">
        <f>F!D295</f>
        <v>0</v>
      </c>
      <c r="E127" s="76">
        <v>3</v>
      </c>
      <c r="F127" s="76">
        <f t="shared" ref="F127:F130" si="2">D127*E127</f>
        <v>0</v>
      </c>
      <c r="G127" s="191"/>
      <c r="H127" s="2547"/>
      <c r="I127" s="2253"/>
    </row>
    <row r="128" spans="1:9" ht="23.25" customHeight="1" x14ac:dyDescent="0.2">
      <c r="A128" s="2538"/>
      <c r="B128" s="2247"/>
      <c r="C128" s="303" t="str">
        <f>F!C296</f>
        <v>Burned 6-10 years ago.</v>
      </c>
      <c r="D128" s="558">
        <f>F!D296</f>
        <v>0</v>
      </c>
      <c r="E128" s="76">
        <v>1</v>
      </c>
      <c r="F128" s="76">
        <f t="shared" si="2"/>
        <v>0</v>
      </c>
      <c r="G128" s="192"/>
      <c r="H128" s="2547"/>
      <c r="I128" s="2253"/>
    </row>
    <row r="129" spans="1:9" ht="23.25" customHeight="1" x14ac:dyDescent="0.2">
      <c r="A129" s="2538"/>
      <c r="B129" s="2247"/>
      <c r="C129" s="303" t="str">
        <f>F!C297</f>
        <v>Burned 11-30 years ago.</v>
      </c>
      <c r="D129" s="558">
        <f>F!D297</f>
        <v>0</v>
      </c>
      <c r="E129" s="76">
        <v>0</v>
      </c>
      <c r="F129" s="76">
        <f t="shared" si="2"/>
        <v>0</v>
      </c>
      <c r="G129" s="192"/>
      <c r="H129" s="2547"/>
      <c r="I129" s="2253"/>
    </row>
    <row r="130" spans="1:9" ht="23.25" customHeight="1" thickBot="1" x14ac:dyDescent="0.25">
      <c r="A130" s="2539"/>
      <c r="B130" s="2248"/>
      <c r="C130" s="571" t="str">
        <f>F!C298</f>
        <v>Burned &gt;30 years ago, or no evidence of a burn and no data.</v>
      </c>
      <c r="D130" s="794">
        <f>F!D298</f>
        <v>0</v>
      </c>
      <c r="E130" s="77">
        <v>0</v>
      </c>
      <c r="F130" s="77">
        <f t="shared" si="2"/>
        <v>0</v>
      </c>
      <c r="G130" s="193"/>
      <c r="H130" s="2548"/>
      <c r="I130" s="2254"/>
    </row>
    <row r="131" spans="1:9" ht="17.25" thickBot="1" x14ac:dyDescent="0.25">
      <c r="A131" s="2262" t="str">
        <f>F!A337</f>
        <v>F65</v>
      </c>
      <c r="B131" s="2508" t="str">
        <f>F!B337</f>
        <v>pH Measurement [PR, NR, CSP, APP, FA, FR, AM, WBN, Sens]</v>
      </c>
      <c r="C131" s="711" t="str">
        <f>F!C337</f>
        <v>The pH in most of the AA's surface water:</v>
      </c>
      <c r="D131" s="1405"/>
      <c r="E131" s="75"/>
      <c r="F131" s="75"/>
      <c r="G131" s="1836">
        <f>IF((D134=1),"",IF((D133=1),0.2,IF((D132=""),"",IF((D132&gt;=7.5),1,IF((D132&gt;5&lt;7.5),0.5,0)))))</f>
        <v>0.2</v>
      </c>
      <c r="H131" s="2266" t="s">
        <v>8971</v>
      </c>
      <c r="I131" s="64" t="s">
        <v>1629</v>
      </c>
    </row>
    <row r="132" spans="1:9" ht="17.25" thickBot="1" x14ac:dyDescent="0.25">
      <c r="A132" s="2262"/>
      <c r="B132" s="2506"/>
      <c r="C132" s="727" t="str">
        <f>F!C338</f>
        <v>Was measured, and is:  [enter the reading in the column to the right.]</v>
      </c>
      <c r="D132" s="1989" t="str">
        <f>IF((F!D338=""),"",F!D338)</f>
        <v/>
      </c>
      <c r="E132" s="76"/>
      <c r="F132" s="76"/>
      <c r="G132" s="181"/>
      <c r="H132" s="2266"/>
      <c r="I132" s="64"/>
    </row>
    <row r="133" spans="1:9" ht="38.25" x14ac:dyDescent="0.2">
      <c r="A133" s="2262"/>
      <c r="B133" s="2506"/>
      <c r="C133" s="766" t="str">
        <f>F!C339</f>
        <v xml:space="preserve">Was not measured but surface water is present and is darkly tea-coloured.  Or if no surface water, then mosses and plants that indicate peatland (e.g., Labrador tea) are prevalent. Enter "1". </v>
      </c>
      <c r="D133" s="401">
        <f>F!D339</f>
        <v>1</v>
      </c>
      <c r="E133" s="76"/>
      <c r="F133" s="76"/>
      <c r="G133" s="181"/>
      <c r="H133" s="2266"/>
      <c r="I133" s="64"/>
    </row>
    <row r="134" spans="1:9" ht="17.25" thickBot="1" x14ac:dyDescent="0.25">
      <c r="A134" s="2263"/>
      <c r="B134" s="2507"/>
      <c r="C134" s="767" t="str">
        <f>F!C340</f>
        <v>Neither of above. Enter "1".</v>
      </c>
      <c r="D134" s="794">
        <f>F!D340</f>
        <v>0</v>
      </c>
      <c r="E134" s="77"/>
      <c r="F134" s="77"/>
      <c r="G134" s="182"/>
      <c r="H134" s="2267"/>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266"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267"/>
      <c r="I136" s="4" t="s">
        <v>1704</v>
      </c>
    </row>
    <row r="137" spans="1:9" ht="51.75" thickBot="1" x14ac:dyDescent="0.25">
      <c r="A137" s="1595" t="str">
        <f>S!A5</f>
        <v>S1</v>
      </c>
      <c r="B137" s="991" t="str">
        <f>S!B5</f>
        <v>Altered Timing of Water Inputs</v>
      </c>
      <c r="C137" s="63" t="s">
        <v>1144</v>
      </c>
      <c r="D137" s="812">
        <f>S!F26</f>
        <v>0.16666666666666666</v>
      </c>
      <c r="E137" s="84"/>
      <c r="F137" s="257"/>
      <c r="G137" s="348">
        <f>1-D137</f>
        <v>0.83333333333333337</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v>
      </c>
      <c r="E143" s="560"/>
      <c r="F143" s="1912"/>
      <c r="G143" s="183">
        <f>D143</f>
        <v>0</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f>WBN!G204</f>
        <v>0</v>
      </c>
      <c r="E149" s="563"/>
      <c r="F149" s="562"/>
      <c r="G149" s="369">
        <f t="shared" si="3"/>
        <v>0</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98" t="s">
        <v>1053</v>
      </c>
      <c r="D152" s="2526" t="s">
        <v>1733</v>
      </c>
      <c r="E152" s="2527"/>
      <c r="F152" s="2528"/>
      <c r="G152" s="690">
        <f>AVERAGE(TDS_8,Conductiv8, AVERAGE(Karst8, AnadF7, Groundw8, Nfixers8, NutrIn8, AVERAGE(WetPctCA7, Inflow8)))</f>
        <v>0</v>
      </c>
      <c r="H152" s="322" t="s">
        <v>1734</v>
      </c>
      <c r="I152" s="322" t="s">
        <v>1735</v>
      </c>
      <c r="J152" s="297" t="s">
        <v>1736</v>
      </c>
    </row>
    <row r="153" spans="1:10" ht="51" x14ac:dyDescent="0.2">
      <c r="A153" s="285"/>
      <c r="B153" s="285"/>
      <c r="C153" s="2399"/>
      <c r="D153" s="2529" t="s">
        <v>1737</v>
      </c>
      <c r="E153" s="2530"/>
      <c r="F153" s="2531"/>
      <c r="G153" s="688">
        <f>AVERAGE(Wettype8,Subtypes8,pH_8,Fluc8a,SeasPct8,SoilTex8,Outdur8,Interspers8,AqPlants8, Created8)</f>
        <v>2.5000000000000001E-2</v>
      </c>
      <c r="H153" s="323" t="s">
        <v>9146</v>
      </c>
      <c r="I153" s="323" t="s">
        <v>1738</v>
      </c>
      <c r="J153" s="295" t="s">
        <v>1739</v>
      </c>
    </row>
    <row r="154" spans="1:10" ht="38.25" x14ac:dyDescent="0.2">
      <c r="A154" s="285"/>
      <c r="B154" s="285"/>
      <c r="C154" s="2399"/>
      <c r="D154" s="2529" t="s">
        <v>1740</v>
      </c>
      <c r="E154" s="2530"/>
      <c r="F154" s="2531"/>
      <c r="G154" s="688" t="e">
        <f>(warmth8 + AVERAGE(Aspect8, TidalProx8,Depth8, Beaver8, ShadedW8, DecidTree8, Gcover8))/2</f>
        <v>#VALUE!</v>
      </c>
      <c r="H154" s="372" t="s">
        <v>9103</v>
      </c>
      <c r="I154" s="323" t="s">
        <v>1741</v>
      </c>
      <c r="J154" s="295" t="s">
        <v>1742</v>
      </c>
    </row>
    <row r="155" spans="1:10" ht="39" thickBot="1" x14ac:dyDescent="0.25">
      <c r="A155" s="285"/>
      <c r="B155" s="285"/>
      <c r="C155" s="2400"/>
      <c r="D155" s="2534" t="s">
        <v>9102</v>
      </c>
      <c r="E155" s="2535"/>
      <c r="F155" s="2536"/>
      <c r="G155" s="689">
        <f>AVERAGE(AltTime8,Toxic8, SedCA8a, SoilDisturb8,PerimPctPer8, ImpervCA)</f>
        <v>0.63888888888888895</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24" t="s">
        <v>9100</v>
      </c>
      <c r="I156" s="2525"/>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B126:B130"/>
    <mergeCell ref="I126:I130"/>
    <mergeCell ref="H126:H130"/>
    <mergeCell ref="A75:A80"/>
    <mergeCell ref="H98:H103"/>
    <mergeCell ref="B119:B125"/>
    <mergeCell ref="H119:H125"/>
    <mergeCell ref="I119:I125"/>
    <mergeCell ref="H109:H112"/>
    <mergeCell ref="B75:B80"/>
    <mergeCell ref="H75:H80"/>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31:B35"/>
    <mergeCell ref="H31:H35"/>
    <mergeCell ref="B98:B103"/>
    <mergeCell ref="B105:B108"/>
    <mergeCell ref="H93:H96"/>
    <mergeCell ref="B50:B55"/>
    <mergeCell ref="H50:H55"/>
    <mergeCell ref="H105:H108"/>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57" t="s">
        <v>1777</v>
      </c>
      <c r="B1" s="255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41" t="str">
        <f>OF!A89</f>
        <v>OF15</v>
      </c>
      <c r="B3" s="2559" t="str">
        <f>OF!B89</f>
        <v>Tidal Proximity [APP, FA, WBF, CRI]</v>
      </c>
      <c r="C3" s="549" t="str">
        <f>OF!C89</f>
        <v>The distance from the AA edge to the closest tidal water body (regardless of its salinity) is:</v>
      </c>
      <c r="D3" s="801"/>
      <c r="E3" s="80"/>
      <c r="F3" s="80"/>
      <c r="G3" s="120">
        <f>MAX(F4:F8)/MAX(E4:E8)</f>
        <v>0</v>
      </c>
      <c r="H3" s="2252" t="s">
        <v>1780</v>
      </c>
      <c r="I3" s="283" t="s">
        <v>1781</v>
      </c>
    </row>
    <row r="4" spans="1:9" s="2" customFormat="1" x14ac:dyDescent="0.2">
      <c r="A4" s="2514"/>
      <c r="B4" s="2560"/>
      <c r="C4" s="727" t="str">
        <f>OF!C90</f>
        <v>&lt;100 m.</v>
      </c>
      <c r="D4" s="401">
        <f>OF!D90</f>
        <v>0</v>
      </c>
      <c r="E4" s="76">
        <v>4</v>
      </c>
      <c r="F4" s="76">
        <f>D4*E4</f>
        <v>0</v>
      </c>
      <c r="G4" s="192"/>
      <c r="H4" s="2253"/>
      <c r="I4" s="64"/>
    </row>
    <row r="5" spans="1:9" s="2" customFormat="1" x14ac:dyDescent="0.2">
      <c r="A5" s="2514"/>
      <c r="B5" s="2560"/>
      <c r="C5" s="766" t="str">
        <f>OF!C91</f>
        <v>100 m - 1 km.</v>
      </c>
      <c r="D5" s="558">
        <f>OF!D91</f>
        <v>0</v>
      </c>
      <c r="E5" s="76">
        <v>4</v>
      </c>
      <c r="F5" s="76">
        <f>D5*E5</f>
        <v>0</v>
      </c>
      <c r="G5" s="192"/>
      <c r="H5" s="2253"/>
      <c r="I5" s="64"/>
    </row>
    <row r="6" spans="1:9" s="2" customFormat="1" x14ac:dyDescent="0.2">
      <c r="A6" s="2514"/>
      <c r="B6" s="2560"/>
      <c r="C6" s="766" t="str">
        <f>OF!C92</f>
        <v>1 - 5 km.</v>
      </c>
      <c r="D6" s="558">
        <f>OF!D92</f>
        <v>0</v>
      </c>
      <c r="E6" s="76">
        <v>3</v>
      </c>
      <c r="F6" s="76">
        <f>D6*E6</f>
        <v>0</v>
      </c>
      <c r="G6" s="192"/>
      <c r="H6" s="2253"/>
      <c r="I6" s="64"/>
    </row>
    <row r="7" spans="1:9" s="2" customFormat="1" x14ac:dyDescent="0.2">
      <c r="A7" s="2514"/>
      <c r="B7" s="2560"/>
      <c r="C7" s="766" t="str">
        <f>OF!C94</f>
        <v>10-40 km.</v>
      </c>
      <c r="D7" s="558">
        <f>OF!D94</f>
        <v>0</v>
      </c>
      <c r="E7" s="76">
        <v>2</v>
      </c>
      <c r="F7" s="76">
        <f>D7*E7</f>
        <v>0</v>
      </c>
      <c r="G7" s="192"/>
      <c r="H7" s="2253"/>
      <c r="I7" s="64"/>
    </row>
    <row r="8" spans="1:9" s="2" customFormat="1" ht="13.5" thickBot="1" x14ac:dyDescent="0.25">
      <c r="A8" s="2542"/>
      <c r="B8" s="2561"/>
      <c r="C8" s="767" t="str">
        <f>OF!C95</f>
        <v>&gt;40 km.</v>
      </c>
      <c r="D8" s="794">
        <f>OF!D95</f>
        <v>0</v>
      </c>
      <c r="E8" s="77">
        <v>0</v>
      </c>
      <c r="F8" s="77">
        <f>D8*E8</f>
        <v>0</v>
      </c>
      <c r="G8" s="193"/>
      <c r="H8" s="2253"/>
      <c r="I8" s="282"/>
    </row>
    <row r="9" spans="1:9" s="2" customFormat="1" ht="39" thickBot="1" x14ac:dyDescent="0.25">
      <c r="A9" s="2280" t="str">
        <f>OF!A111</f>
        <v>OF20</v>
      </c>
      <c r="B9" s="2508"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v>
      </c>
      <c r="H9" s="2252" t="s">
        <v>1782</v>
      </c>
      <c r="I9" s="283" t="s">
        <v>1783</v>
      </c>
    </row>
    <row r="10" spans="1:9" s="2" customFormat="1" x14ac:dyDescent="0.2">
      <c r="A10" s="2280"/>
      <c r="B10" s="2506"/>
      <c r="C10" s="727" t="str">
        <f>OF!C112</f>
        <v>The condition is present within the AA.</v>
      </c>
      <c r="D10" s="401">
        <f>OF!D112</f>
        <v>0</v>
      </c>
      <c r="E10" s="75"/>
      <c r="F10" s="76"/>
      <c r="G10" s="191"/>
      <c r="H10" s="2253"/>
      <c r="I10" s="64"/>
    </row>
    <row r="11" spans="1:9" s="2" customFormat="1" ht="25.5" x14ac:dyDescent="0.2">
      <c r="A11" s="2280"/>
      <c r="B11" s="2506"/>
      <c r="C11" s="727" t="str">
        <f>OF!C113</f>
        <v>The condition is present in waters within 1 km that flow into the AA, but has not been documented in the AA itself.</v>
      </c>
      <c r="D11" s="401">
        <f>OF!D113</f>
        <v>0</v>
      </c>
      <c r="E11" s="75"/>
      <c r="F11" s="76"/>
      <c r="G11" s="192"/>
      <c r="H11" s="2253"/>
      <c r="I11" s="64"/>
    </row>
    <row r="12" spans="1:9" s="2" customFormat="1" ht="25.5" x14ac:dyDescent="0.2">
      <c r="A12" s="2280"/>
      <c r="B12" s="2506"/>
      <c r="C12" s="727" t="str">
        <f>OF!C114</f>
        <v>Sampling during both low water periods and times with high runoff (storms, snowmelt) indicates no problems in either the AA or inflowing waters.</v>
      </c>
      <c r="D12" s="401">
        <f>OF!D114</f>
        <v>0</v>
      </c>
      <c r="E12" s="75"/>
      <c r="F12" s="76"/>
      <c r="G12" s="192"/>
      <c r="H12" s="2253"/>
      <c r="I12" s="64"/>
    </row>
    <row r="13" spans="1:9" s="2" customFormat="1" ht="26.25" thickBot="1" x14ac:dyDescent="0.25">
      <c r="A13" s="2280"/>
      <c r="B13" s="2509"/>
      <c r="C13" s="10" t="str">
        <f>OF!C115</f>
        <v>Data are insufficient (no or inadequate sampling within 1 km, or condition exists only at &gt;1 km upstream). This is the situation for nearly all wetlands in this region.</v>
      </c>
      <c r="D13" s="479">
        <f>OF!D115</f>
        <v>0</v>
      </c>
      <c r="E13" s="89"/>
      <c r="F13" s="79"/>
      <c r="G13" s="211"/>
      <c r="H13" s="2254"/>
      <c r="I13" s="282"/>
    </row>
    <row r="14" spans="1:9" s="2" customFormat="1" ht="57" customHeight="1" thickBot="1" x14ac:dyDescent="0.25">
      <c r="A14" s="2279" t="str">
        <f>OF!A127</f>
        <v>OF23</v>
      </c>
      <c r="B14" s="250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v>
      </c>
      <c r="H14" s="2252" t="s">
        <v>8924</v>
      </c>
      <c r="I14" s="283" t="s">
        <v>1784</v>
      </c>
    </row>
    <row r="15" spans="1:9" s="2" customFormat="1" ht="33" customHeight="1" x14ac:dyDescent="0.2">
      <c r="A15" s="2280"/>
      <c r="B15" s="2506"/>
      <c r="C15" s="150" t="str">
        <f>OF!C128</f>
        <v>&lt;10%.</v>
      </c>
      <c r="D15" s="401">
        <f>OF!D128</f>
        <v>0</v>
      </c>
      <c r="E15" s="76">
        <v>2</v>
      </c>
      <c r="F15" s="76">
        <f>D15*E15</f>
        <v>0</v>
      </c>
      <c r="G15" s="192"/>
      <c r="H15" s="2253"/>
      <c r="I15" s="64"/>
    </row>
    <row r="16" spans="1:9" s="2" customFormat="1" ht="33" customHeight="1" x14ac:dyDescent="0.2">
      <c r="A16" s="2280"/>
      <c r="B16" s="2506"/>
      <c r="C16" s="281" t="str">
        <f>OF!C129</f>
        <v>10 to 25%.</v>
      </c>
      <c r="D16" s="558">
        <f>OF!D129</f>
        <v>0</v>
      </c>
      <c r="E16" s="76">
        <v>1</v>
      </c>
      <c r="F16" s="76">
        <f>D16*E16</f>
        <v>0</v>
      </c>
      <c r="G16" s="192"/>
      <c r="H16" s="2253"/>
      <c r="I16" s="64"/>
    </row>
    <row r="17" spans="1:9" s="2" customFormat="1" ht="60" customHeight="1" thickBot="1" x14ac:dyDescent="0.25">
      <c r="A17" s="2281"/>
      <c r="B17" s="2507"/>
      <c r="C17" s="249" t="str">
        <f>OF!C130</f>
        <v>&gt;25%.</v>
      </c>
      <c r="D17" s="794">
        <f>OF!D130</f>
        <v>0</v>
      </c>
      <c r="E17" s="77">
        <v>0</v>
      </c>
      <c r="F17" s="77">
        <f>D17*E17</f>
        <v>0</v>
      </c>
      <c r="G17" s="193"/>
      <c r="H17" s="2254"/>
      <c r="I17" s="282"/>
    </row>
    <row r="18" spans="1:9" s="7" customFormat="1" ht="26.25" thickBot="1" x14ac:dyDescent="0.25">
      <c r="A18" s="2280" t="str">
        <f>OF!A148</f>
        <v>OF28</v>
      </c>
      <c r="B18" s="2508" t="str">
        <f>OF!B148</f>
        <v>Anadromous Species Access or Use [SFTSb, FA]</v>
      </c>
      <c r="C18" s="253" t="str">
        <f>OF!C148</f>
        <v>According to agency biologists and/or your own observations, the AA. [Mark just the first choice that is true.]:</v>
      </c>
      <c r="D18" s="802"/>
      <c r="E18" s="75"/>
      <c r="F18" s="152"/>
      <c r="G18" s="348">
        <f>MAX(F19,F20)/2</f>
        <v>0</v>
      </c>
      <c r="H18" s="2252" t="s">
        <v>1785</v>
      </c>
      <c r="I18" s="283" t="s">
        <v>1786</v>
      </c>
    </row>
    <row r="19" spans="1:9" s="7" customFormat="1" ht="114.75" x14ac:dyDescent="0.2">
      <c r="A19" s="2280"/>
      <c r="B19" s="250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53"/>
      <c r="I19" s="64"/>
    </row>
    <row r="20" spans="1:9" s="7" customFormat="1" ht="39" thickBot="1" x14ac:dyDescent="0.25">
      <c r="A20" s="2280"/>
      <c r="B20" s="2509"/>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53"/>
      <c r="I20" s="64"/>
    </row>
    <row r="21" spans="1:9" s="2" customFormat="1" ht="26.25" thickBot="1" x14ac:dyDescent="0.25">
      <c r="A21" s="2265" t="str">
        <f>F!A5</f>
        <v>F1</v>
      </c>
      <c r="B21" s="250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52" t="s">
        <v>1787</v>
      </c>
      <c r="I21" s="283" t="s">
        <v>1788</v>
      </c>
    </row>
    <row r="22" spans="1:9" s="2" customFormat="1" ht="64.5" thickBot="1" x14ac:dyDescent="0.25">
      <c r="A22" s="2262"/>
      <c r="B22" s="250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53"/>
      <c r="I22" s="64"/>
    </row>
    <row r="23" spans="1:9" s="2" customFormat="1" ht="76.5" x14ac:dyDescent="0.2">
      <c r="A23" s="2262"/>
      <c r="B23" s="250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253"/>
      <c r="I23" s="64"/>
    </row>
    <row r="24" spans="1:9" s="2" customFormat="1" ht="51" x14ac:dyDescent="0.2">
      <c r="A24" s="2262"/>
      <c r="B24" s="250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53"/>
      <c r="I24" s="64"/>
    </row>
    <row r="25" spans="1:9" s="2" customFormat="1" ht="38.25" x14ac:dyDescent="0.2">
      <c r="A25" s="2262"/>
      <c r="B25" s="250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53"/>
      <c r="I25" s="64"/>
    </row>
    <row r="26" spans="1:9" ht="38.25" x14ac:dyDescent="0.2">
      <c r="A26" s="2262"/>
      <c r="B26" s="250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53"/>
      <c r="I26" s="64"/>
    </row>
    <row r="27" spans="1:9" ht="51.75" thickBot="1" x14ac:dyDescent="0.25">
      <c r="A27" s="2263"/>
      <c r="B27" s="250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54"/>
      <c r="I27" s="282"/>
    </row>
    <row r="28" spans="1:9" ht="32.25" customHeight="1" thickBot="1" x14ac:dyDescent="0.25">
      <c r="A28" s="2262" t="str">
        <f>F!A135</f>
        <v>F22</v>
      </c>
      <c r="B28" s="2508"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v>
      </c>
      <c r="H28" s="2253" t="s">
        <v>1789</v>
      </c>
      <c r="I28" s="384" t="s">
        <v>1790</v>
      </c>
    </row>
    <row r="29" spans="1:9" x14ac:dyDescent="0.2">
      <c r="A29" s="2262"/>
      <c r="B29" s="2506"/>
      <c r="C29" s="281" t="str">
        <f>F!C136</f>
        <v xml:space="preserve">None, or &lt;0.01 hectare and &lt;1% of the AA. </v>
      </c>
      <c r="D29" s="558">
        <f>F!D136</f>
        <v>0</v>
      </c>
      <c r="E29" s="76">
        <v>3</v>
      </c>
      <c r="F29" s="76">
        <f>D29*E29</f>
        <v>0</v>
      </c>
      <c r="G29" s="260"/>
      <c r="H29" s="2253"/>
      <c r="I29" s="359"/>
    </row>
    <row r="30" spans="1:9" x14ac:dyDescent="0.2">
      <c r="A30" s="2262"/>
      <c r="B30" s="2506"/>
      <c r="C30" s="281" t="str">
        <f>F!C137</f>
        <v>1-20% of the AA, or &lt;1% but &gt;0.01 ha.</v>
      </c>
      <c r="D30" s="558">
        <f>F!D137</f>
        <v>0</v>
      </c>
      <c r="E30" s="76">
        <v>4</v>
      </c>
      <c r="F30" s="76">
        <f>D30*E30</f>
        <v>0</v>
      </c>
      <c r="G30" s="261"/>
      <c r="H30" s="2253"/>
      <c r="I30" s="359"/>
    </row>
    <row r="31" spans="1:9" x14ac:dyDescent="0.2">
      <c r="A31" s="2262"/>
      <c r="B31" s="2506"/>
      <c r="C31" s="281" t="str">
        <f>F!C138</f>
        <v>20-50% of the AA.</v>
      </c>
      <c r="D31" s="558">
        <f>F!D138</f>
        <v>0</v>
      </c>
      <c r="E31" s="76">
        <v>3</v>
      </c>
      <c r="F31" s="76">
        <f>D31*E31</f>
        <v>0</v>
      </c>
      <c r="G31" s="261"/>
      <c r="H31" s="2253"/>
      <c r="I31" s="359"/>
    </row>
    <row r="32" spans="1:9" x14ac:dyDescent="0.2">
      <c r="A32" s="2262"/>
      <c r="B32" s="2506"/>
      <c r="C32" s="281" t="str">
        <f>F!C139</f>
        <v>50-95% of the AA.</v>
      </c>
      <c r="D32" s="558">
        <f>F!D139</f>
        <v>0</v>
      </c>
      <c r="E32" s="76">
        <v>2</v>
      </c>
      <c r="F32" s="76">
        <f>D32*E32</f>
        <v>0</v>
      </c>
      <c r="G32" s="261"/>
      <c r="H32" s="2253"/>
      <c r="I32" s="359"/>
    </row>
    <row r="33" spans="1:9" ht="13.5" thickBot="1" x14ac:dyDescent="0.25">
      <c r="A33" s="2262"/>
      <c r="B33" s="2509"/>
      <c r="C33" s="151" t="str">
        <f>F!C140</f>
        <v xml:space="preserve">&gt;95% of the AA. </v>
      </c>
      <c r="D33" s="557">
        <f>F!D140</f>
        <v>0</v>
      </c>
      <c r="E33" s="79">
        <v>1</v>
      </c>
      <c r="F33" s="79">
        <f>D33*E33</f>
        <v>0</v>
      </c>
      <c r="G33" s="264"/>
      <c r="H33" s="2253"/>
      <c r="I33" s="335"/>
    </row>
    <row r="34" spans="1:9" ht="64.5" customHeight="1" thickBot="1" x14ac:dyDescent="0.25">
      <c r="A34" s="2261" t="str">
        <f>F!A142</f>
        <v>F23</v>
      </c>
      <c r="B34" s="2555"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v>
      </c>
      <c r="H34" s="2252" t="s">
        <v>1791</v>
      </c>
      <c r="I34" s="384" t="s">
        <v>1792</v>
      </c>
    </row>
    <row r="35" spans="1:9" x14ac:dyDescent="0.2">
      <c r="A35" s="2284"/>
      <c r="B35" s="2512"/>
      <c r="C35" s="594" t="str">
        <f>F!C143</f>
        <v>None or trace.</v>
      </c>
      <c r="D35" s="798">
        <f>F!D143</f>
        <v>0</v>
      </c>
      <c r="E35" s="75">
        <v>0</v>
      </c>
      <c r="F35" s="76">
        <f>D35*E35</f>
        <v>0</v>
      </c>
      <c r="G35" s="261"/>
      <c r="H35" s="2253"/>
      <c r="I35" s="359"/>
    </row>
    <row r="36" spans="1:9" x14ac:dyDescent="0.2">
      <c r="A36" s="2284"/>
      <c r="B36" s="2512"/>
      <c r="C36" s="594" t="str">
        <f>F!C144</f>
        <v>1-20% of the AA.</v>
      </c>
      <c r="D36" s="798">
        <f>F!D144</f>
        <v>0</v>
      </c>
      <c r="E36" s="76">
        <v>1</v>
      </c>
      <c r="F36" s="76">
        <f>D36*E36</f>
        <v>0</v>
      </c>
      <c r="G36" s="260"/>
      <c r="H36" s="2253"/>
      <c r="I36" s="359"/>
    </row>
    <row r="37" spans="1:9" x14ac:dyDescent="0.2">
      <c r="A37" s="2284"/>
      <c r="B37" s="2512"/>
      <c r="C37" s="594" t="str">
        <f>F!C145</f>
        <v>20-50% of the AA.</v>
      </c>
      <c r="D37" s="798">
        <f>F!D145</f>
        <v>0</v>
      </c>
      <c r="E37" s="76">
        <v>2</v>
      </c>
      <c r="F37" s="76">
        <f>D37*E37</f>
        <v>0</v>
      </c>
      <c r="G37" s="261"/>
      <c r="H37" s="2253"/>
      <c r="I37" s="359"/>
    </row>
    <row r="38" spans="1:9" x14ac:dyDescent="0.2">
      <c r="A38" s="2284"/>
      <c r="B38" s="2512"/>
      <c r="C38" s="594" t="str">
        <f>F!C146</f>
        <v>50-95% of the AA.</v>
      </c>
      <c r="D38" s="798">
        <f>F!D146</f>
        <v>0</v>
      </c>
      <c r="E38" s="76">
        <v>3</v>
      </c>
      <c r="F38" s="76">
        <f>D38*E38</f>
        <v>0</v>
      </c>
      <c r="G38" s="261"/>
      <c r="H38" s="2253"/>
      <c r="I38" s="359"/>
    </row>
    <row r="39" spans="1:9" ht="13.5" thickBot="1" x14ac:dyDescent="0.25">
      <c r="A39" s="2285"/>
      <c r="B39" s="2556"/>
      <c r="C39" s="592" t="str">
        <f>F!C147</f>
        <v>&gt;95% of the AA. True for many fringe wetlands.</v>
      </c>
      <c r="D39" s="817">
        <f>F!D147</f>
        <v>0</v>
      </c>
      <c r="E39" s="77">
        <v>4</v>
      </c>
      <c r="F39" s="77">
        <f>D39*E39</f>
        <v>0</v>
      </c>
      <c r="G39" s="262"/>
      <c r="H39" s="2254"/>
      <c r="I39" s="335"/>
    </row>
    <row r="40" spans="1:9" s="7" customFormat="1" ht="39" thickBot="1" x14ac:dyDescent="0.25">
      <c r="A40" s="2262" t="str">
        <f>F!A149</f>
        <v>F24</v>
      </c>
      <c r="B40" s="2508"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53" t="s">
        <v>8925</v>
      </c>
      <c r="I40" s="283" t="s">
        <v>1793</v>
      </c>
    </row>
    <row r="41" spans="1:9" s="7" customFormat="1" ht="25.5" x14ac:dyDescent="0.2">
      <c r="A41" s="2262"/>
      <c r="B41" s="2506"/>
      <c r="C41" s="281" t="str">
        <f>F!C150</f>
        <v xml:space="preserve">&lt;1% . In other words, all or nearly all of the AA is covered by water permanently or at least seasonally.  </v>
      </c>
      <c r="D41" s="558">
        <f>F!D150</f>
        <v>0</v>
      </c>
      <c r="E41" s="76">
        <v>5</v>
      </c>
      <c r="F41" s="76">
        <f t="shared" ref="F41:F46" si="0">D41*E41</f>
        <v>0</v>
      </c>
      <c r="G41" s="192"/>
      <c r="H41" s="2253"/>
      <c r="I41" s="64"/>
    </row>
    <row r="42" spans="1:9" s="7" customFormat="1" x14ac:dyDescent="0.2">
      <c r="A42" s="2262"/>
      <c r="B42" s="2506"/>
      <c r="C42" s="281" t="str">
        <f>F!C151</f>
        <v>1-25% of the AA,  or &lt;1% but &gt;0.01 ha never contains surface water.</v>
      </c>
      <c r="D42" s="558">
        <f>F!D151</f>
        <v>0</v>
      </c>
      <c r="E42" s="76">
        <v>4</v>
      </c>
      <c r="F42" s="76">
        <f t="shared" si="0"/>
        <v>0</v>
      </c>
      <c r="G42" s="192"/>
      <c r="H42" s="2253"/>
      <c r="I42" s="64"/>
    </row>
    <row r="43" spans="1:9" s="7" customFormat="1" x14ac:dyDescent="0.2">
      <c r="A43" s="2262"/>
      <c r="B43" s="2506"/>
      <c r="C43" s="281" t="str">
        <f>F!C152</f>
        <v>25-50% of the AA never contains surface water.</v>
      </c>
      <c r="D43" s="558">
        <f>F!D152</f>
        <v>0</v>
      </c>
      <c r="E43" s="76">
        <v>3</v>
      </c>
      <c r="F43" s="76">
        <f t="shared" si="0"/>
        <v>0</v>
      </c>
      <c r="G43" s="192"/>
      <c r="H43" s="2253"/>
      <c r="I43" s="64"/>
    </row>
    <row r="44" spans="1:9" s="7" customFormat="1" x14ac:dyDescent="0.2">
      <c r="A44" s="2262"/>
      <c r="B44" s="2506"/>
      <c r="C44" s="281" t="str">
        <f>F!C153</f>
        <v>50-75% of the AA never contains surface water.</v>
      </c>
      <c r="D44" s="558">
        <f>F!D153</f>
        <v>0</v>
      </c>
      <c r="E44" s="76">
        <v>2</v>
      </c>
      <c r="F44" s="76">
        <f t="shared" si="0"/>
        <v>0</v>
      </c>
      <c r="G44" s="192"/>
      <c r="H44" s="2253"/>
      <c r="I44" s="64"/>
    </row>
    <row r="45" spans="1:9" ht="25.5" x14ac:dyDescent="0.2">
      <c r="A45" s="2262"/>
      <c r="B45" s="250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53"/>
      <c r="I45" s="64"/>
    </row>
    <row r="46" spans="1:9" ht="26.25" thickBot="1" x14ac:dyDescent="0.25">
      <c r="A46" s="2262"/>
      <c r="B46" s="2509"/>
      <c r="C46" s="151" t="str">
        <f>F!C155</f>
        <v>&gt; 99%. AND during most years there is never more than 0.1 ha of ponded surface water within the AA. Enter "1" and SKIP to F43 (Channel Connection).</v>
      </c>
      <c r="D46" s="557">
        <f>F!D155</f>
        <v>0</v>
      </c>
      <c r="E46" s="79">
        <v>0</v>
      </c>
      <c r="F46" s="79">
        <f t="shared" si="0"/>
        <v>0</v>
      </c>
      <c r="G46" s="211"/>
      <c r="H46" s="2253"/>
      <c r="I46" s="282"/>
    </row>
    <row r="47" spans="1:9" ht="33.75" customHeight="1" thickBot="1" x14ac:dyDescent="0.25">
      <c r="A47" s="2265" t="str">
        <f>F!A158</f>
        <v>F25</v>
      </c>
      <c r="B47" s="250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52" t="s">
        <v>1794</v>
      </c>
      <c r="I47" s="384" t="s">
        <v>1795</v>
      </c>
    </row>
    <row r="48" spans="1:9" ht="21.75" customHeight="1" x14ac:dyDescent="0.2">
      <c r="A48" s="2262"/>
      <c r="B48" s="2506"/>
      <c r="C48" s="150" t="str">
        <f>F!C159</f>
        <v>&lt;5% of the water is shaded, or no surface water is present then.</v>
      </c>
      <c r="D48" s="401">
        <f>F!D159</f>
        <v>0</v>
      </c>
      <c r="E48" s="76">
        <v>1</v>
      </c>
      <c r="F48" s="76">
        <f>D48*E48</f>
        <v>0</v>
      </c>
      <c r="G48" s="260"/>
      <c r="H48" s="2253"/>
      <c r="I48" s="359"/>
    </row>
    <row r="49" spans="1:9" ht="18.75" customHeight="1" x14ac:dyDescent="0.2">
      <c r="A49" s="2262"/>
      <c r="B49" s="2506"/>
      <c r="C49" s="281" t="str">
        <f>F!C160</f>
        <v>5-25% of the water is shaded.</v>
      </c>
      <c r="D49" s="558">
        <f>F!D160</f>
        <v>0</v>
      </c>
      <c r="E49" s="76">
        <v>2</v>
      </c>
      <c r="F49" s="76">
        <f>D49*E49</f>
        <v>0</v>
      </c>
      <c r="G49" s="261"/>
      <c r="H49" s="2253"/>
      <c r="I49" s="359"/>
    </row>
    <row r="50" spans="1:9" ht="18.75" customHeight="1" x14ac:dyDescent="0.2">
      <c r="A50" s="2262"/>
      <c r="B50" s="2506"/>
      <c r="C50" s="281" t="str">
        <f>F!C161</f>
        <v>25-50% of the water is shaded.</v>
      </c>
      <c r="D50" s="558">
        <f>F!D161</f>
        <v>0</v>
      </c>
      <c r="E50" s="76">
        <v>3</v>
      </c>
      <c r="F50" s="76">
        <f>D50*E50</f>
        <v>0</v>
      </c>
      <c r="G50" s="261"/>
      <c r="H50" s="2253"/>
      <c r="I50" s="359"/>
    </row>
    <row r="51" spans="1:9" ht="21.75" customHeight="1" x14ac:dyDescent="0.2">
      <c r="A51" s="2262"/>
      <c r="B51" s="2506"/>
      <c r="C51" s="281" t="str">
        <f>F!C162</f>
        <v>50-75% of the water is shaded.</v>
      </c>
      <c r="D51" s="558">
        <f>F!D162</f>
        <v>0</v>
      </c>
      <c r="E51" s="76">
        <v>5</v>
      </c>
      <c r="F51" s="76">
        <f>D51*E51</f>
        <v>0</v>
      </c>
      <c r="G51" s="261"/>
      <c r="H51" s="2253"/>
      <c r="I51" s="359"/>
    </row>
    <row r="52" spans="1:9" ht="25.5" customHeight="1" thickBot="1" x14ac:dyDescent="0.25">
      <c r="A52" s="2263"/>
      <c r="B52" s="2507"/>
      <c r="C52" s="249" t="str">
        <f>F!C163</f>
        <v>&gt;75% of the water is shaded.</v>
      </c>
      <c r="D52" s="794">
        <f>F!D163</f>
        <v>0</v>
      </c>
      <c r="E52" s="77">
        <v>4</v>
      </c>
      <c r="F52" s="77">
        <f>D52*E52</f>
        <v>0</v>
      </c>
      <c r="G52" s="262"/>
      <c r="H52" s="2254"/>
      <c r="I52" s="335"/>
    </row>
    <row r="53" spans="1:9" ht="26.25" thickBot="1" x14ac:dyDescent="0.25">
      <c r="A53" s="2262" t="str">
        <f>F!A175</f>
        <v>F29</v>
      </c>
      <c r="B53" s="2508"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v>
      </c>
      <c r="H53" s="2253" t="s">
        <v>8901</v>
      </c>
      <c r="I53" s="384" t="s">
        <v>1796</v>
      </c>
    </row>
    <row r="54" spans="1:9" x14ac:dyDescent="0.2">
      <c r="A54" s="2262"/>
      <c r="B54" s="2506"/>
      <c r="C54" s="150" t="str">
        <f>F!C176</f>
        <v>&lt;10 cm deep (but &gt;0).</v>
      </c>
      <c r="D54" s="401">
        <f>F!D176</f>
        <v>0</v>
      </c>
      <c r="E54" s="76">
        <v>0</v>
      </c>
      <c r="F54" s="76">
        <f>D54*E54</f>
        <v>0</v>
      </c>
      <c r="G54" s="260"/>
      <c r="H54" s="2253"/>
      <c r="I54" s="359"/>
    </row>
    <row r="55" spans="1:9" x14ac:dyDescent="0.2">
      <c r="A55" s="2262"/>
      <c r="B55" s="2506"/>
      <c r="C55" s="281" t="str">
        <f>F!C177</f>
        <v>10 - 50 cm deep.</v>
      </c>
      <c r="D55" s="558">
        <f>F!D177</f>
        <v>0</v>
      </c>
      <c r="E55" s="76">
        <v>3</v>
      </c>
      <c r="F55" s="76">
        <f>D55*E55</f>
        <v>0</v>
      </c>
      <c r="G55" s="261"/>
      <c r="H55" s="2253"/>
      <c r="I55" s="359"/>
    </row>
    <row r="56" spans="1:9" x14ac:dyDescent="0.2">
      <c r="A56" s="2262"/>
      <c r="B56" s="2506"/>
      <c r="C56" s="281" t="str">
        <f>F!C178</f>
        <v>0.5 - 1 m deep.</v>
      </c>
      <c r="D56" s="558">
        <f>F!D178</f>
        <v>0</v>
      </c>
      <c r="E56" s="76">
        <v>5</v>
      </c>
      <c r="F56" s="76">
        <f>D56*E56</f>
        <v>0</v>
      </c>
      <c r="G56" s="261"/>
      <c r="H56" s="2253"/>
      <c r="I56" s="359"/>
    </row>
    <row r="57" spans="1:9" x14ac:dyDescent="0.2">
      <c r="A57" s="2262"/>
      <c r="B57" s="2506"/>
      <c r="C57" s="281" t="str">
        <f>F!C179</f>
        <v>1 - 2 m deep.</v>
      </c>
      <c r="D57" s="558">
        <f>F!D179</f>
        <v>0</v>
      </c>
      <c r="E57" s="76">
        <v>6</v>
      </c>
      <c r="F57" s="76">
        <f>D57*E57</f>
        <v>0</v>
      </c>
      <c r="G57" s="261"/>
      <c r="H57" s="2253"/>
      <c r="I57" s="359"/>
    </row>
    <row r="58" spans="1:9" ht="13.5" thickBot="1" x14ac:dyDescent="0.25">
      <c r="A58" s="2262"/>
      <c r="B58" s="2509"/>
      <c r="C58" s="151" t="str">
        <f>F!C180</f>
        <v>&gt;2 m deep. True for many fringe wetlands.</v>
      </c>
      <c r="D58" s="557">
        <f>F!D180</f>
        <v>0</v>
      </c>
      <c r="E58" s="77">
        <v>7</v>
      </c>
      <c r="F58" s="79">
        <f>D58*E58</f>
        <v>0</v>
      </c>
      <c r="G58" s="264"/>
      <c r="H58" s="2253"/>
      <c r="I58" s="335"/>
    </row>
    <row r="59" spans="1:9" ht="26.25" thickBot="1" x14ac:dyDescent="0.25">
      <c r="A59" s="2265" t="str">
        <f>F!A217</f>
        <v>F36</v>
      </c>
      <c r="B59" s="250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52" t="s">
        <v>1797</v>
      </c>
      <c r="I59" s="384" t="s">
        <v>1798</v>
      </c>
    </row>
    <row r="60" spans="1:9" ht="25.5" x14ac:dyDescent="0.2">
      <c r="A60" s="2262"/>
      <c r="B60" s="2506"/>
      <c r="C60" s="727" t="str">
        <f>F!C218</f>
        <v>Scattered. More than 30% of such vegetation forms small islands or corridors surrounded by water.</v>
      </c>
      <c r="D60" s="401">
        <f>F!D218</f>
        <v>0</v>
      </c>
      <c r="E60" s="76">
        <v>3</v>
      </c>
      <c r="F60" s="76">
        <f>D60*E60</f>
        <v>0</v>
      </c>
      <c r="G60" s="181"/>
      <c r="H60" s="2253"/>
      <c r="I60" s="359"/>
    </row>
    <row r="61" spans="1:9" x14ac:dyDescent="0.2">
      <c r="A61" s="2262"/>
      <c r="B61" s="2506"/>
      <c r="C61" s="766" t="str">
        <f>F!C219</f>
        <v>Intermediate.</v>
      </c>
      <c r="D61" s="558">
        <f>F!D219</f>
        <v>0</v>
      </c>
      <c r="E61" s="76">
        <v>2</v>
      </c>
      <c r="F61" s="76">
        <f>D61*E61</f>
        <v>0</v>
      </c>
      <c r="G61" s="181"/>
      <c r="H61" s="2253"/>
      <c r="I61" s="359"/>
    </row>
    <row r="62" spans="1:9" ht="26.25" thickBot="1" x14ac:dyDescent="0.25">
      <c r="A62" s="2263"/>
      <c r="B62" s="2507"/>
      <c r="C62" s="767" t="str">
        <f>F!C220</f>
        <v>Clumped. More than 70% of such vegetation is in bands along the wetland perimeter or is clumped at one or a few sides of the surface water area.</v>
      </c>
      <c r="D62" s="794">
        <f>F!D220</f>
        <v>0</v>
      </c>
      <c r="E62" s="77">
        <v>0</v>
      </c>
      <c r="F62" s="77">
        <f>D62*E62</f>
        <v>0</v>
      </c>
      <c r="G62" s="182"/>
      <c r="H62" s="2254"/>
      <c r="I62" s="335"/>
    </row>
    <row r="63" spans="1:9" ht="39" thickBot="1" x14ac:dyDescent="0.25">
      <c r="A63" s="2262" t="str">
        <f>F!A225</f>
        <v>F40</v>
      </c>
      <c r="B63" s="2508"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53" t="s">
        <v>8902</v>
      </c>
      <c r="I63" s="384" t="s">
        <v>1799</v>
      </c>
    </row>
    <row r="64" spans="1:9" x14ac:dyDescent="0.2">
      <c r="A64" s="2262"/>
      <c r="B64" s="2506"/>
      <c r="C64" s="150" t="str">
        <f>F!C226</f>
        <v>Little or none.</v>
      </c>
      <c r="D64" s="401">
        <f>F!D226</f>
        <v>0</v>
      </c>
      <c r="E64" s="76">
        <v>0</v>
      </c>
      <c r="F64" s="76">
        <f>D64*E64</f>
        <v>0</v>
      </c>
      <c r="G64" s="260"/>
      <c r="H64" s="2253"/>
      <c r="I64" s="359"/>
    </row>
    <row r="65" spans="1:9" x14ac:dyDescent="0.2">
      <c r="A65" s="2262"/>
      <c r="B65" s="2506"/>
      <c r="C65" s="281" t="str">
        <f>F!C227</f>
        <v>Intermediate.</v>
      </c>
      <c r="D65" s="558">
        <f>F!D227</f>
        <v>0</v>
      </c>
      <c r="E65" s="76">
        <v>2</v>
      </c>
      <c r="F65" s="76">
        <f>D65*E65</f>
        <v>0</v>
      </c>
      <c r="G65" s="555"/>
      <c r="H65" s="2253"/>
      <c r="I65" s="359"/>
    </row>
    <row r="66" spans="1:9" ht="13.5" thickBot="1" x14ac:dyDescent="0.25">
      <c r="A66" s="2262"/>
      <c r="B66" s="2509"/>
      <c r="C66" s="151" t="str">
        <f>F!C228</f>
        <v>Extensive.</v>
      </c>
      <c r="D66" s="557">
        <f>F!D228</f>
        <v>0</v>
      </c>
      <c r="E66" s="79">
        <v>3</v>
      </c>
      <c r="F66" s="79">
        <f>D66*E66</f>
        <v>0</v>
      </c>
      <c r="G66" s="264"/>
      <c r="H66" s="2253"/>
      <c r="I66" s="335"/>
    </row>
    <row r="67" spans="1:9" ht="64.5" thickBot="1" x14ac:dyDescent="0.25">
      <c r="A67" s="2265" t="str">
        <f>F!A232</f>
        <v>F43</v>
      </c>
      <c r="B67" s="250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52" t="s">
        <v>8643</v>
      </c>
      <c r="I67" s="384" t="s">
        <v>1800</v>
      </c>
    </row>
    <row r="68" spans="1:9" x14ac:dyDescent="0.2">
      <c r="A68" s="2262"/>
      <c r="B68" s="2506"/>
      <c r="C68" s="150" t="str">
        <f>F!C233</f>
        <v>Persistent (surface water flows out for &gt;9 months/year).</v>
      </c>
      <c r="D68" s="401">
        <f>F!D233</f>
        <v>0</v>
      </c>
      <c r="E68" s="76">
        <v>3</v>
      </c>
      <c r="F68" s="76">
        <f>D68*E68</f>
        <v>0</v>
      </c>
      <c r="G68" s="260"/>
      <c r="H68" s="2253"/>
      <c r="I68" s="359"/>
    </row>
    <row r="69" spans="1:9" ht="25.5" x14ac:dyDescent="0.2">
      <c r="A69" s="2262"/>
      <c r="B69" s="2506"/>
      <c r="C69" s="281" t="str">
        <f>F!C234</f>
        <v>Seasonal (surface water flows out for 14 days to 9 months/year, not necessarily consecutive).</v>
      </c>
      <c r="D69" s="558">
        <f>F!D234</f>
        <v>0</v>
      </c>
      <c r="E69" s="76">
        <v>2</v>
      </c>
      <c r="F69" s="76">
        <f>D69*E69</f>
        <v>0</v>
      </c>
      <c r="G69" s="261"/>
      <c r="H69" s="2253"/>
      <c r="I69" s="359"/>
    </row>
    <row r="70" spans="1:9" x14ac:dyDescent="0.2">
      <c r="A70" s="2262"/>
      <c r="B70" s="2506"/>
      <c r="C70" s="281" t="str">
        <f>F!C235</f>
        <v>Temporary (surface water flows out for &lt;14 days, not necessarily consecutive).</v>
      </c>
      <c r="D70" s="558">
        <f>F!D235</f>
        <v>0</v>
      </c>
      <c r="E70" s="76">
        <v>1</v>
      </c>
      <c r="F70" s="76">
        <f>D70*E70</f>
        <v>0</v>
      </c>
      <c r="G70" s="261"/>
      <c r="H70" s="2253"/>
      <c r="I70" s="359"/>
    </row>
    <row r="71" spans="1:9" ht="51" x14ac:dyDescent="0.2">
      <c r="A71" s="2262"/>
      <c r="B71" s="250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53"/>
      <c r="I71" s="359"/>
    </row>
    <row r="72" spans="1:9" ht="39" thickBot="1" x14ac:dyDescent="0.25">
      <c r="A72" s="2263"/>
      <c r="B72" s="250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54"/>
      <c r="I72" s="335"/>
    </row>
    <row r="73" spans="1:9" ht="26.25" thickBot="1" x14ac:dyDescent="0.25">
      <c r="A73" s="2262" t="str">
        <f>F!A244</f>
        <v>F45</v>
      </c>
      <c r="B73" s="2508"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53" t="s">
        <v>1801</v>
      </c>
      <c r="I73" s="384" t="s">
        <v>1802</v>
      </c>
    </row>
    <row r="74" spans="1:9" ht="38.25" x14ac:dyDescent="0.2">
      <c r="A74" s="2262"/>
      <c r="B74" s="250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53"/>
      <c r="I74" s="359"/>
    </row>
    <row r="75" spans="1:9" x14ac:dyDescent="0.2">
      <c r="A75" s="2262"/>
      <c r="B75" s="2506"/>
      <c r="C75" s="281" t="str">
        <f>F!C246</f>
        <v>Bumps into herbaceous vegetation but mostly remains in fairly straight channels.</v>
      </c>
      <c r="D75" s="558">
        <f>F!D246</f>
        <v>0</v>
      </c>
      <c r="E75" s="76">
        <v>1</v>
      </c>
      <c r="F75" s="76">
        <f>D75*E75</f>
        <v>0</v>
      </c>
      <c r="G75" s="261"/>
      <c r="H75" s="2253"/>
      <c r="I75" s="359"/>
    </row>
    <row r="76" spans="1:9" ht="25.5" x14ac:dyDescent="0.2">
      <c r="A76" s="2262"/>
      <c r="B76" s="2506"/>
      <c r="C76" s="281" t="str">
        <f>F!C247</f>
        <v>Bumps into herbaceous vegetation and mostly spreads throughout, or is in widely meandering, multi-branched, or braided channels.</v>
      </c>
      <c r="D76" s="558">
        <f>F!D247</f>
        <v>0</v>
      </c>
      <c r="E76" s="76">
        <v>3</v>
      </c>
      <c r="F76" s="76">
        <f>D76*E76</f>
        <v>0</v>
      </c>
      <c r="G76" s="261"/>
      <c r="H76" s="2253"/>
      <c r="I76" s="359"/>
    </row>
    <row r="77" spans="1:9" x14ac:dyDescent="0.2">
      <c r="A77" s="2262"/>
      <c r="B77" s="2506"/>
      <c r="C77" s="281" t="str">
        <f>F!C248</f>
        <v>Bumps into tree trunks and/or shrub stems but mostly remains in fairly straight channels.</v>
      </c>
      <c r="D77" s="558">
        <f>F!D248</f>
        <v>0</v>
      </c>
      <c r="E77" s="76">
        <v>2</v>
      </c>
      <c r="F77" s="76">
        <f>D77*E77</f>
        <v>0</v>
      </c>
      <c r="G77" s="261"/>
      <c r="H77" s="2253"/>
      <c r="I77" s="359"/>
    </row>
    <row r="78" spans="1:9" ht="26.25" thickBot="1" x14ac:dyDescent="0.25">
      <c r="A78" s="2262"/>
      <c r="B78" s="2509"/>
      <c r="C78" s="151" t="str">
        <f>F!C249</f>
        <v>Bumps into tree trunks and/or shrub stems and follows a fairly indirect path from entrance to exit (meandering, multi-branched, or braided).</v>
      </c>
      <c r="D78" s="557">
        <f>F!D249</f>
        <v>0</v>
      </c>
      <c r="E78" s="79">
        <v>3</v>
      </c>
      <c r="F78" s="79">
        <f>D78*E78</f>
        <v>0</v>
      </c>
      <c r="G78" s="264"/>
      <c r="H78" s="2254"/>
      <c r="I78" s="335"/>
    </row>
    <row r="79" spans="1:9" ht="13.5" thickBot="1" x14ac:dyDescent="0.25">
      <c r="A79" s="2265" t="str">
        <f>F!A337</f>
        <v>F65</v>
      </c>
      <c r="B79" s="2505" t="str">
        <f>F!B337</f>
        <v>pH Measurement [PR, NR, CSP, APP, FA, FR, AM, WBN, Sens]</v>
      </c>
      <c r="C79" s="63" t="str">
        <f>F!C337</f>
        <v>The pH in most of the AA's surface water:</v>
      </c>
      <c r="D79" s="801"/>
      <c r="E79" s="80"/>
      <c r="F79" s="81"/>
      <c r="G79" s="259">
        <f>IF((D82=1),"", IF((D81=1),0.2,IF((D80=""),"",IF((D80&gt;5),1,IF((D80&lt;9),1,0)))))</f>
        <v>0.2</v>
      </c>
      <c r="H79" s="2271" t="s">
        <v>8644</v>
      </c>
      <c r="I79" s="384" t="s">
        <v>1803</v>
      </c>
    </row>
    <row r="80" spans="1:9" x14ac:dyDescent="0.2">
      <c r="A80" s="2262"/>
      <c r="B80" s="2506"/>
      <c r="C80" s="150" t="str">
        <f>F!C338</f>
        <v>Was measured, and is:  [enter the reading in the column to the right.]</v>
      </c>
      <c r="D80" s="1914" t="str">
        <f>IF((F!D338=""),"",F!D338)</f>
        <v/>
      </c>
      <c r="E80" s="76"/>
      <c r="F80" s="76"/>
      <c r="G80" s="260"/>
      <c r="H80" s="2266"/>
      <c r="I80" s="359"/>
    </row>
    <row r="81" spans="1:9" ht="38.25" x14ac:dyDescent="0.2">
      <c r="A81" s="2262"/>
      <c r="B81" s="2506"/>
      <c r="C81" s="587" t="str">
        <f>F!C339</f>
        <v xml:space="preserve">Was not measured but surface water is present and is darkly tea-coloured.  Or if no surface water, then mosses and plants that indicate peatland (e.g., Labrador tea) are prevalent. Enter "1". </v>
      </c>
      <c r="D81" s="798">
        <f>F!D339</f>
        <v>1</v>
      </c>
      <c r="E81" s="76"/>
      <c r="F81" s="76"/>
      <c r="G81" s="261"/>
      <c r="H81" s="2266"/>
      <c r="I81" s="359"/>
    </row>
    <row r="82" spans="1:9" ht="13.5" thickBot="1" x14ac:dyDescent="0.25">
      <c r="A82" s="2263"/>
      <c r="B82" s="2507"/>
      <c r="C82" s="253" t="str">
        <f>F!C340</f>
        <v>Neither of above. Enter "1".</v>
      </c>
      <c r="D82" s="480">
        <f>F!D340</f>
        <v>0</v>
      </c>
      <c r="E82" s="77"/>
      <c r="F82" s="77"/>
      <c r="G82" s="262"/>
      <c r="H82" s="2267"/>
      <c r="I82" s="335"/>
    </row>
    <row r="83" spans="1:9" ht="13.5" thickBot="1" x14ac:dyDescent="0.25">
      <c r="A83" s="2284" t="str">
        <f>F!A251</f>
        <v>F47</v>
      </c>
      <c r="B83" s="2511" t="str">
        <f>F!B251</f>
        <v>Beaver Probability [SFTS, CC, APP, FA, FR, AM, WBF, WBN, RSB, KMH, PH, Sens]</v>
      </c>
      <c r="C83" s="1372" t="str">
        <f>F!C251</f>
        <v>Use of the AA by beaver during the past 5 years is (select most applicable ONE):</v>
      </c>
      <c r="D83" s="802"/>
      <c r="E83" s="75"/>
      <c r="F83" s="78"/>
      <c r="G83" s="352">
        <f>MAX(F84:F86)/MAX(E84:E86)</f>
        <v>0</v>
      </c>
      <c r="H83" s="2252" t="s">
        <v>1804</v>
      </c>
      <c r="I83" s="384" t="s">
        <v>1805</v>
      </c>
    </row>
    <row r="84" spans="1:9" ht="25.5" x14ac:dyDescent="0.2">
      <c r="A84" s="2284"/>
      <c r="B84" s="2512"/>
      <c r="C84" s="175" t="str">
        <f>F!C252</f>
        <v>Evident from direct observation or presence of gnawed limbs, dams, tracks, dens, lodges, or extensive stands of water-killed trees (snags).</v>
      </c>
      <c r="D84" s="797">
        <f>F!D252</f>
        <v>0</v>
      </c>
      <c r="E84" s="76">
        <v>3</v>
      </c>
      <c r="F84" s="76">
        <f>D84*E84</f>
        <v>0</v>
      </c>
      <c r="G84" s="260"/>
      <c r="H84" s="2253"/>
      <c r="I84" s="359"/>
    </row>
    <row r="85" spans="1:9" ht="51" x14ac:dyDescent="0.2">
      <c r="A85" s="2284"/>
      <c r="B85" s="2512"/>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253"/>
      <c r="I85" s="359"/>
    </row>
    <row r="86" spans="1:9" ht="26.25" thickBot="1" x14ac:dyDescent="0.25">
      <c r="A86" s="2284"/>
      <c r="B86" s="2513"/>
      <c r="C86" s="1374" t="str">
        <f>F!C254</f>
        <v xml:space="preserve">Unlikely because site characteristics above are deficient, and/or this is a settled area or other area where beaver are routinely removed. </v>
      </c>
      <c r="D86" s="798">
        <f>F!D254</f>
        <v>0</v>
      </c>
      <c r="E86" s="76">
        <v>0</v>
      </c>
      <c r="F86" s="76">
        <f>D86*E86</f>
        <v>0</v>
      </c>
      <c r="G86" s="261"/>
      <c r="H86" s="2254"/>
      <c r="I86" s="335"/>
    </row>
    <row r="87" spans="1:9" ht="13.5" thickBot="1" x14ac:dyDescent="0.25">
      <c r="A87" s="2265" t="str">
        <f>F!A255</f>
        <v>F48</v>
      </c>
      <c r="B87" s="2505" t="str">
        <f>F!B255</f>
        <v>Groundwater Strength of Evidence [WS, SFTS, PRb, NR, APP, FA, FR, AM]</v>
      </c>
      <c r="C87" s="549" t="str">
        <f>F!C255</f>
        <v>Select first applicable choice:</v>
      </c>
      <c r="D87" s="801"/>
      <c r="E87" s="80"/>
      <c r="F87" s="81"/>
      <c r="G87" s="165">
        <f>MAX(F88:F90)/MAX(E88:E90)</f>
        <v>0</v>
      </c>
      <c r="H87" s="2252" t="s">
        <v>1806</v>
      </c>
      <c r="I87" s="384" t="s">
        <v>1807</v>
      </c>
    </row>
    <row r="88" spans="1:9" ht="43.5" customHeight="1" x14ac:dyDescent="0.2">
      <c r="A88" s="2262"/>
      <c r="B88" s="250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53"/>
      <c r="I88" s="359"/>
    </row>
    <row r="89" spans="1:9" ht="38.25" x14ac:dyDescent="0.2">
      <c r="A89" s="2262"/>
      <c r="B89" s="2506"/>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253"/>
      <c r="I89" s="359"/>
    </row>
    <row r="90" spans="1:9" ht="26.25" thickBot="1" x14ac:dyDescent="0.25">
      <c r="A90" s="2263"/>
      <c r="B90" s="2507"/>
      <c r="C90" s="767" t="str">
        <f>F!C258</f>
        <v>Neither of above is true, although some groundwater may discharge to or flow through the AA. Or groundwater influx is unknown.</v>
      </c>
      <c r="D90" s="794">
        <f>F!D258</f>
        <v>0</v>
      </c>
      <c r="E90" s="77">
        <v>0</v>
      </c>
      <c r="F90" s="77">
        <f>D90*E90</f>
        <v>0</v>
      </c>
      <c r="G90" s="262"/>
      <c r="H90" s="2254"/>
      <c r="I90" s="335"/>
    </row>
    <row r="91" spans="1:9" ht="39" thickBot="1" x14ac:dyDescent="0.25">
      <c r="A91" s="2262" t="str">
        <f>F!A266</f>
        <v>F50</v>
      </c>
      <c r="B91" s="2508"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v>
      </c>
      <c r="H91" s="2252" t="s">
        <v>8853</v>
      </c>
      <c r="I91" s="384" t="s">
        <v>1808</v>
      </c>
    </row>
    <row r="92" spans="1:9" x14ac:dyDescent="0.2">
      <c r="A92" s="2262"/>
      <c r="B92" s="2506"/>
      <c r="C92" s="252" t="str">
        <f>F!C267</f>
        <v>&lt;5%.</v>
      </c>
      <c r="D92" s="694">
        <f>F!D267</f>
        <v>0</v>
      </c>
      <c r="E92" s="76">
        <v>0</v>
      </c>
      <c r="F92" s="76">
        <f>D92*E92</f>
        <v>0</v>
      </c>
      <c r="G92" s="260"/>
      <c r="H92" s="2253"/>
      <c r="I92" s="359"/>
    </row>
    <row r="93" spans="1:9" x14ac:dyDescent="0.2">
      <c r="A93" s="2262"/>
      <c r="B93" s="2506"/>
      <c r="C93" s="281" t="str">
        <f>F!C268</f>
        <v>5 to &lt;30%.</v>
      </c>
      <c r="D93" s="558">
        <f>F!D268</f>
        <v>0</v>
      </c>
      <c r="E93" s="76">
        <v>2</v>
      </c>
      <c r="F93" s="76">
        <f>D93*E93</f>
        <v>0</v>
      </c>
      <c r="G93" s="261"/>
      <c r="H93" s="2253"/>
      <c r="I93" s="359"/>
    </row>
    <row r="94" spans="1:9" x14ac:dyDescent="0.2">
      <c r="A94" s="2262"/>
      <c r="B94" s="2506"/>
      <c r="C94" s="281" t="str">
        <f>F!C269</f>
        <v>30 to &lt;60%.</v>
      </c>
      <c r="D94" s="558">
        <f>F!D269</f>
        <v>0</v>
      </c>
      <c r="E94" s="76">
        <v>3</v>
      </c>
      <c r="F94" s="76">
        <f>D94*E94</f>
        <v>0</v>
      </c>
      <c r="G94" s="261"/>
      <c r="H94" s="2253"/>
      <c r="I94" s="359"/>
    </row>
    <row r="95" spans="1:9" x14ac:dyDescent="0.2">
      <c r="A95" s="2262"/>
      <c r="B95" s="2506"/>
      <c r="C95" s="2" t="str">
        <f>F!C270</f>
        <v>60 to 90%.</v>
      </c>
      <c r="D95" s="479">
        <f>F!D270</f>
        <v>0</v>
      </c>
      <c r="E95" s="76">
        <v>4</v>
      </c>
      <c r="F95" s="76">
        <f>D95*E95</f>
        <v>0</v>
      </c>
      <c r="G95" s="261"/>
      <c r="H95" s="2253"/>
      <c r="I95" s="359"/>
    </row>
    <row r="96" spans="1:9" s="2" customFormat="1" ht="13.5" thickBot="1" x14ac:dyDescent="0.25">
      <c r="A96" s="2262"/>
      <c r="B96" s="2509"/>
      <c r="C96" s="151" t="str">
        <f>F!C271</f>
        <v>&gt;90%, or all the area within 30 m of the AA edge is other wetlands. SKIP to F53.</v>
      </c>
      <c r="D96" s="557">
        <f>F!D271</f>
        <v>0</v>
      </c>
      <c r="E96" s="79">
        <v>6</v>
      </c>
      <c r="F96" s="79">
        <f>D96*E96</f>
        <v>0</v>
      </c>
      <c r="G96" s="264"/>
      <c r="H96" s="2253"/>
      <c r="I96" s="335"/>
    </row>
    <row r="97" spans="1:9" s="2" customFormat="1" ht="26.25" thickBot="1" x14ac:dyDescent="0.25">
      <c r="A97" s="2265" t="str">
        <f>F!A272</f>
        <v>F51</v>
      </c>
      <c r="B97" s="250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271" t="s">
        <v>8645</v>
      </c>
      <c r="I97" s="384" t="s">
        <v>1809</v>
      </c>
    </row>
    <row r="98" spans="1:9" x14ac:dyDescent="0.2">
      <c r="A98" s="2262"/>
      <c r="B98" s="2506"/>
      <c r="C98" s="853" t="str">
        <f>F!C273</f>
        <v>Impervious surface, e.g., paved road, parking lot, building, exposed rock.</v>
      </c>
      <c r="D98" s="803">
        <f>F!D273</f>
        <v>0</v>
      </c>
      <c r="E98" s="76">
        <v>0</v>
      </c>
      <c r="F98" s="76">
        <f>D98*E98</f>
        <v>0</v>
      </c>
      <c r="G98" s="191"/>
      <c r="H98" s="2266"/>
      <c r="I98" s="359"/>
    </row>
    <row r="99" spans="1:9" ht="26.25" thickBot="1" x14ac:dyDescent="0.25">
      <c r="A99" s="2263"/>
      <c r="B99" s="2507"/>
      <c r="C99" s="253" t="str">
        <f>F!C274</f>
        <v>Bare or nearly bare pervious surface (e.g., unpaved road, dike, landslide) or managed or heavily grazed vegetation (e.g., lawn, row crops), .</v>
      </c>
      <c r="D99" s="480">
        <f>F!D274</f>
        <v>0</v>
      </c>
      <c r="E99" s="77">
        <v>1</v>
      </c>
      <c r="F99" s="77">
        <f>D99*E99</f>
        <v>0</v>
      </c>
      <c r="G99" s="193"/>
      <c r="H99" s="2267"/>
      <c r="I99" s="335"/>
    </row>
    <row r="100" spans="1:9" ht="51.75" thickBot="1" x14ac:dyDescent="0.25">
      <c r="A100" s="1597" t="s">
        <v>680</v>
      </c>
      <c r="B100" s="1368" t="s">
        <v>1810</v>
      </c>
      <c r="C100" s="1375" t="s">
        <v>1144</v>
      </c>
      <c r="D100" s="861">
        <f>S!F26</f>
        <v>0.16666666666666666</v>
      </c>
      <c r="E100" s="172"/>
      <c r="F100" s="83"/>
      <c r="G100" s="900">
        <f>1-D100</f>
        <v>0.83333333333333337</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62" t="str">
        <f>OF!A53</f>
        <v>OF9</v>
      </c>
      <c r="B104" s="250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v>
      </c>
      <c r="H104" s="2252" t="s">
        <v>1818</v>
      </c>
      <c r="I104" s="384" t="s">
        <v>1819</v>
      </c>
    </row>
    <row r="105" spans="1:9" x14ac:dyDescent="0.2">
      <c r="A105" s="2562"/>
      <c r="B105" s="2506"/>
      <c r="C105" s="881" t="str">
        <f>OF!C54</f>
        <v>&lt;100 m.</v>
      </c>
      <c r="D105" s="406">
        <f>OF!D54</f>
        <v>0</v>
      </c>
      <c r="E105" s="93">
        <v>4</v>
      </c>
      <c r="F105" s="76">
        <f>D105*E105</f>
        <v>0</v>
      </c>
      <c r="G105" s="123"/>
      <c r="H105" s="2253"/>
      <c r="I105" s="359"/>
    </row>
    <row r="106" spans="1:9" x14ac:dyDescent="0.2">
      <c r="A106" s="2562"/>
      <c r="B106" s="2506"/>
      <c r="C106" s="1156" t="str">
        <f>OF!C55</f>
        <v>100 - 500 m.</v>
      </c>
      <c r="D106" s="407">
        <f>OF!D55</f>
        <v>0</v>
      </c>
      <c r="E106" s="93">
        <v>3</v>
      </c>
      <c r="F106" s="76">
        <f>D106*E106</f>
        <v>0</v>
      </c>
      <c r="G106" s="123"/>
      <c r="H106" s="2253"/>
      <c r="I106" s="359"/>
    </row>
    <row r="107" spans="1:9" x14ac:dyDescent="0.2">
      <c r="A107" s="2562"/>
      <c r="B107" s="2506"/>
      <c r="C107" s="1156" t="str">
        <f>OF!C56</f>
        <v>0.5- 1 km.</v>
      </c>
      <c r="D107" s="407">
        <f>OF!D56</f>
        <v>0</v>
      </c>
      <c r="E107" s="93">
        <v>2</v>
      </c>
      <c r="F107" s="76">
        <f>D107*E107</f>
        <v>0</v>
      </c>
      <c r="G107" s="123"/>
      <c r="H107" s="2253"/>
      <c r="I107" s="359"/>
    </row>
    <row r="108" spans="1:9" x14ac:dyDescent="0.2">
      <c r="A108" s="2562"/>
      <c r="B108" s="2506"/>
      <c r="C108" s="1156" t="str">
        <f>OF!C57</f>
        <v>1 - 5 km.</v>
      </c>
      <c r="D108" s="407">
        <f>OF!D57</f>
        <v>0</v>
      </c>
      <c r="E108" s="93">
        <v>1</v>
      </c>
      <c r="F108" s="76">
        <f>D108*E108</f>
        <v>0</v>
      </c>
      <c r="G108" s="123"/>
      <c r="H108" s="2253"/>
      <c r="I108" s="359"/>
    </row>
    <row r="109" spans="1:9" ht="13.5" thickBot="1" x14ac:dyDescent="0.25">
      <c r="A109" s="2563"/>
      <c r="B109" s="2509"/>
      <c r="C109" s="1163" t="str">
        <f>OF!C58</f>
        <v>&gt;5 km.</v>
      </c>
      <c r="D109" s="409">
        <f>OF!D58</f>
        <v>0</v>
      </c>
      <c r="E109" s="95">
        <v>0</v>
      </c>
      <c r="F109" s="79">
        <f>D109*E109</f>
        <v>0</v>
      </c>
      <c r="G109" s="129"/>
      <c r="H109" s="2253"/>
      <c r="I109" s="359"/>
    </row>
    <row r="110" spans="1:9" ht="26.25" thickBot="1" x14ac:dyDescent="0.25">
      <c r="A110" s="2564" t="str">
        <f>OF!A65</f>
        <v>OF11</v>
      </c>
      <c r="B110" s="250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252" t="s">
        <v>1820</v>
      </c>
      <c r="I110" s="384" t="s">
        <v>1821</v>
      </c>
    </row>
    <row r="111" spans="1:9" x14ac:dyDescent="0.2">
      <c r="A111" s="2565"/>
      <c r="B111" s="2506"/>
      <c r="C111" s="881" t="str">
        <f>OF!C66</f>
        <v>&lt;10 m.</v>
      </c>
      <c r="D111" s="406">
        <f>OF!D66</f>
        <v>0</v>
      </c>
      <c r="E111" s="93">
        <v>5</v>
      </c>
      <c r="F111" s="76">
        <f t="shared" ref="F111:F116" si="1">D111*E111</f>
        <v>0</v>
      </c>
      <c r="G111" s="123"/>
      <c r="H111" s="2253"/>
      <c r="I111" s="359"/>
    </row>
    <row r="112" spans="1:9" x14ac:dyDescent="0.2">
      <c r="A112" s="2565"/>
      <c r="B112" s="2506"/>
      <c r="C112" s="1156" t="str">
        <f>OF!C67</f>
        <v>10 - 25 m.</v>
      </c>
      <c r="D112" s="407">
        <f>OF!D67</f>
        <v>0</v>
      </c>
      <c r="E112" s="93">
        <v>4</v>
      </c>
      <c r="F112" s="76">
        <f t="shared" si="1"/>
        <v>0</v>
      </c>
      <c r="G112" s="123"/>
      <c r="H112" s="2253"/>
      <c r="I112" s="359"/>
    </row>
    <row r="113" spans="1:10" x14ac:dyDescent="0.2">
      <c r="A113" s="2565"/>
      <c r="B113" s="2506"/>
      <c r="C113" s="1156" t="str">
        <f>OF!C68</f>
        <v>25 - 50 m.</v>
      </c>
      <c r="D113" s="407">
        <f>OF!D68</f>
        <v>0</v>
      </c>
      <c r="E113" s="93">
        <v>3</v>
      </c>
      <c r="F113" s="76">
        <f t="shared" si="1"/>
        <v>0</v>
      </c>
      <c r="G113" s="123"/>
      <c r="H113" s="2253"/>
      <c r="I113" s="359"/>
    </row>
    <row r="114" spans="1:10" x14ac:dyDescent="0.2">
      <c r="A114" s="2565"/>
      <c r="B114" s="2506"/>
      <c r="C114" s="1156" t="str">
        <f>OF!C69</f>
        <v>50 - 100 m.</v>
      </c>
      <c r="D114" s="407">
        <f>OF!D69</f>
        <v>0</v>
      </c>
      <c r="E114" s="93">
        <v>2</v>
      </c>
      <c r="F114" s="76">
        <f t="shared" si="1"/>
        <v>0</v>
      </c>
      <c r="G114" s="123"/>
      <c r="H114" s="2253"/>
      <c r="I114" s="359"/>
    </row>
    <row r="115" spans="1:10" x14ac:dyDescent="0.2">
      <c r="A115" s="2565"/>
      <c r="B115" s="2506"/>
      <c r="C115" s="1156" t="str">
        <f>OF!C70</f>
        <v>100 - 500 m.</v>
      </c>
      <c r="D115" s="407">
        <f>OF!D70</f>
        <v>0</v>
      </c>
      <c r="E115" s="93">
        <v>1</v>
      </c>
      <c r="F115" s="76">
        <f t="shared" si="1"/>
        <v>0</v>
      </c>
      <c r="G115" s="123"/>
      <c r="H115" s="2253"/>
      <c r="I115" s="359"/>
    </row>
    <row r="116" spans="1:10" ht="13.5" thickBot="1" x14ac:dyDescent="0.25">
      <c r="A116" s="2566"/>
      <c r="B116" s="2507"/>
      <c r="C116" s="1158" t="str">
        <f>OF!C71</f>
        <v>&gt;500 m.</v>
      </c>
      <c r="D116" s="408">
        <f>OF!D71</f>
        <v>0</v>
      </c>
      <c r="E116" s="97">
        <v>0</v>
      </c>
      <c r="F116" s="77">
        <f t="shared" si="1"/>
        <v>0</v>
      </c>
      <c r="G116" s="124"/>
      <c r="H116" s="2254"/>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64" t="str">
        <f>F!A308</f>
        <v>F58</v>
      </c>
      <c r="B118" s="250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252" t="s">
        <v>1824</v>
      </c>
      <c r="I118" s="384" t="s">
        <v>1825</v>
      </c>
    </row>
    <row r="119" spans="1:10" x14ac:dyDescent="0.2">
      <c r="A119" s="2565"/>
      <c r="B119" s="2506"/>
      <c r="C119" s="1190" t="str">
        <f>F!C309</f>
        <v>&lt;5% and no inhabited building is within 100 m of the AA.</v>
      </c>
      <c r="D119" s="803">
        <f>F!D309</f>
        <v>0</v>
      </c>
      <c r="E119" s="93">
        <v>3</v>
      </c>
      <c r="F119" s="76">
        <f t="shared" ref="F119:F124" si="2">D119*E119</f>
        <v>0</v>
      </c>
      <c r="G119" s="123"/>
      <c r="H119" s="2253"/>
      <c r="I119" s="359"/>
    </row>
    <row r="120" spans="1:10" x14ac:dyDescent="0.2">
      <c r="A120" s="2565"/>
      <c r="B120" s="2506"/>
      <c r="C120" s="305" t="str">
        <f>F!C310</f>
        <v>&lt;5% and inhabited building is within 100 m of the AA.</v>
      </c>
      <c r="D120" s="479">
        <f>F!D310</f>
        <v>0</v>
      </c>
      <c r="E120" s="93">
        <v>3</v>
      </c>
      <c r="F120" s="76">
        <f t="shared" si="2"/>
        <v>0</v>
      </c>
      <c r="G120" s="123"/>
      <c r="H120" s="2253"/>
      <c r="I120" s="359"/>
    </row>
    <row r="121" spans="1:10" x14ac:dyDescent="0.2">
      <c r="A121" s="2565"/>
      <c r="B121" s="2506"/>
      <c r="C121" s="1345" t="str">
        <f>F!C311</f>
        <v>5-50% and no inhabited building is within 100 m of the AA.</v>
      </c>
      <c r="D121" s="557">
        <f>F!D311</f>
        <v>0</v>
      </c>
      <c r="E121" s="93">
        <v>2</v>
      </c>
      <c r="F121" s="76">
        <f t="shared" si="2"/>
        <v>0</v>
      </c>
      <c r="G121" s="123"/>
      <c r="H121" s="2253"/>
      <c r="I121" s="359"/>
    </row>
    <row r="122" spans="1:10" x14ac:dyDescent="0.2">
      <c r="A122" s="2565"/>
      <c r="B122" s="2506"/>
      <c r="C122" s="1344" t="str">
        <f>F!C312</f>
        <v>5-50% and inhabited building is within 100 m of the AA.</v>
      </c>
      <c r="D122" s="558">
        <f>F!D312</f>
        <v>0</v>
      </c>
      <c r="E122" s="93">
        <v>2</v>
      </c>
      <c r="F122" s="76">
        <f t="shared" si="2"/>
        <v>0</v>
      </c>
      <c r="G122" s="123"/>
      <c r="H122" s="2253"/>
      <c r="I122" s="359"/>
    </row>
    <row r="123" spans="1:10" x14ac:dyDescent="0.2">
      <c r="A123" s="2565"/>
      <c r="B123" s="2506"/>
      <c r="C123" s="305" t="str">
        <f>F!C313</f>
        <v>50-95%, with or without inhabited building nearby.</v>
      </c>
      <c r="D123" s="479">
        <f>F!D313</f>
        <v>0</v>
      </c>
      <c r="E123" s="93">
        <v>1</v>
      </c>
      <c r="F123" s="76">
        <f t="shared" si="2"/>
        <v>0</v>
      </c>
      <c r="G123" s="123"/>
      <c r="H123" s="2253"/>
      <c r="I123" s="359"/>
    </row>
    <row r="124" spans="1:10" ht="13.5" thickBot="1" x14ac:dyDescent="0.25">
      <c r="A124" s="2566"/>
      <c r="B124" s="2507"/>
      <c r="C124" s="1191" t="str">
        <f>F!C314</f>
        <v>&gt;95% of the AA with or without inhabited building nearby.</v>
      </c>
      <c r="D124" s="794">
        <f>F!D314</f>
        <v>0</v>
      </c>
      <c r="E124" s="97">
        <v>0</v>
      </c>
      <c r="F124" s="77">
        <f t="shared" si="2"/>
        <v>0</v>
      </c>
      <c r="G124" s="124"/>
      <c r="H124" s="2254"/>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21" t="s">
        <v>1053</v>
      </c>
      <c r="D128" s="2515" t="s">
        <v>1830</v>
      </c>
      <c r="E128" s="2516"/>
      <c r="F128" s="2517"/>
      <c r="G128" s="413">
        <f>AVERAGE(SatPct9,Depth9,PermWpct9,SeasWpct9,GroundW9)</f>
        <v>0</v>
      </c>
      <c r="H128" s="656" t="s">
        <v>1831</v>
      </c>
      <c r="I128" s="322" t="s">
        <v>1832</v>
      </c>
      <c r="J128" s="297" t="s">
        <v>1833</v>
      </c>
    </row>
    <row r="129" spans="1:10" ht="51" x14ac:dyDescent="0.2">
      <c r="A129" s="285"/>
      <c r="B129" s="285"/>
      <c r="C129" s="2522"/>
      <c r="D129" s="2552" t="s">
        <v>1834</v>
      </c>
      <c r="E129" s="2553"/>
      <c r="F129" s="2554"/>
      <c r="G129" s="414">
        <f>IF((AllSat1=1),"", AVERAGE(Beaver9,AVERAGE(Wettype9,WoodAbove9, Shade9, Interspers9,ThruFlo9)))</f>
        <v>0</v>
      </c>
      <c r="H129" s="658" t="s">
        <v>1835</v>
      </c>
      <c r="I129" s="323" t="s">
        <v>1836</v>
      </c>
      <c r="J129" s="295" t="s">
        <v>1837</v>
      </c>
    </row>
    <row r="130" spans="1:10" ht="25.5" x14ac:dyDescent="0.2">
      <c r="A130" s="285"/>
      <c r="B130" s="285"/>
      <c r="C130" s="2522"/>
      <c r="D130" s="2552" t="s">
        <v>1838</v>
      </c>
      <c r="E130" s="2553"/>
      <c r="F130" s="2554"/>
      <c r="G130" s="414">
        <f>IF((AllSat1=1),"", AVERAGE(Beaver9,TidalProx9,OutDura9))</f>
        <v>0</v>
      </c>
      <c r="H130" s="658" t="s">
        <v>1839</v>
      </c>
      <c r="I130" s="323" t="s">
        <v>1840</v>
      </c>
      <c r="J130" s="295" t="s">
        <v>1841</v>
      </c>
    </row>
    <row r="131" spans="1:10" ht="39" thickBot="1" x14ac:dyDescent="0.25">
      <c r="A131" s="285"/>
      <c r="B131" s="285"/>
      <c r="C131" s="2523"/>
      <c r="D131" s="2549" t="s">
        <v>1842</v>
      </c>
      <c r="E131" s="2550"/>
      <c r="F131" s="2551"/>
      <c r="G131" s="415">
        <f>AVERAGE(Acid9,ToxinIn9,SedIn9,AltTime9,ToxData9, ImpervCA9, BuffPctNat9, BuffLU9)</f>
        <v>0.37916666666666671</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88" t="s">
        <v>8597</v>
      </c>
      <c r="I132" s="2289"/>
      <c r="J132" s="62" t="s">
        <v>1845</v>
      </c>
    </row>
    <row r="133" spans="1:10" ht="51.75" thickBot="1" x14ac:dyDescent="0.25">
      <c r="A133" s="216"/>
      <c r="B133" s="299"/>
      <c r="C133" s="382" t="s">
        <v>1846</v>
      </c>
      <c r="D133" s="553"/>
      <c r="E133" s="383"/>
      <c r="F133" s="351" t="s">
        <v>1847</v>
      </c>
      <c r="G133" s="1367">
        <f>10*(IF((RareFish9=1),1,AVERAGE(Fishing9, WbirdFeed,Core9, PopCtr9, DistRd9)))</f>
        <v>0</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 ref="A14:A17"/>
    <mergeCell ref="A18:A20"/>
    <mergeCell ref="A21:A27"/>
    <mergeCell ref="A34:A39"/>
    <mergeCell ref="A1:B1"/>
    <mergeCell ref="A3:A8"/>
    <mergeCell ref="A9:A1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H34:H39"/>
    <mergeCell ref="B34:B39"/>
    <mergeCell ref="B47:B52"/>
    <mergeCell ref="H47:H52"/>
    <mergeCell ref="B28:B33"/>
    <mergeCell ref="H28:H33"/>
    <mergeCell ref="B53:B58"/>
    <mergeCell ref="H53:H58"/>
    <mergeCell ref="B59:B62"/>
    <mergeCell ref="H59:H62"/>
    <mergeCell ref="A59:A62"/>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H118:H124"/>
    <mergeCell ref="B118:B124"/>
    <mergeCell ref="D128:F128"/>
    <mergeCell ref="C128:C131"/>
    <mergeCell ref="D131:F131"/>
    <mergeCell ref="D129:F129"/>
    <mergeCell ref="D130:F130"/>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69" t="s">
        <v>1876</v>
      </c>
      <c r="B1" s="2570"/>
      <c r="C1" s="41" t="s">
        <v>1877</v>
      </c>
      <c r="D1" s="646" t="s">
        <v>926</v>
      </c>
      <c r="E1" s="2567"/>
      <c r="F1" s="2568"/>
      <c r="G1" s="2568"/>
      <c r="H1" s="2568"/>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71" t="str">
        <f>OF!A111</f>
        <v>OF20</v>
      </c>
      <c r="B3" s="250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v>
      </c>
      <c r="H3" s="2253" t="s">
        <v>8926</v>
      </c>
      <c r="I3" s="2572" t="s">
        <v>1878</v>
      </c>
    </row>
    <row r="4" spans="1:10" x14ac:dyDescent="0.2">
      <c r="A4" s="2571"/>
      <c r="B4" s="2506"/>
      <c r="C4" s="727" t="str">
        <f>OF!C112</f>
        <v>The condition is present within the AA.</v>
      </c>
      <c r="D4" s="401">
        <f>OF!D112</f>
        <v>0</v>
      </c>
      <c r="E4" s="75"/>
      <c r="F4" s="76"/>
      <c r="G4" s="191"/>
      <c r="H4" s="2253"/>
      <c r="I4" s="2573"/>
    </row>
    <row r="5" spans="1:10" ht="25.5" x14ac:dyDescent="0.2">
      <c r="A5" s="2571"/>
      <c r="B5" s="2506"/>
      <c r="C5" s="766" t="str">
        <f>OF!C113</f>
        <v>The condition is present in waters within 1 km that flow into the AA, but has not been documented in the AA itself.</v>
      </c>
      <c r="D5" s="558">
        <f>OF!D113</f>
        <v>0</v>
      </c>
      <c r="E5" s="75"/>
      <c r="F5" s="76"/>
      <c r="G5" s="192"/>
      <c r="H5" s="2253"/>
      <c r="I5" s="2573"/>
    </row>
    <row r="6" spans="1:10" ht="25.5" x14ac:dyDescent="0.2">
      <c r="A6" s="2571"/>
      <c r="B6" s="2506"/>
      <c r="C6" s="766" t="str">
        <f>OF!C114</f>
        <v>Sampling during both low water periods and times with high runoff (storms, snowmelt) indicates no problems in either the AA or inflowing waters.</v>
      </c>
      <c r="D6" s="558">
        <f>OF!D114</f>
        <v>0</v>
      </c>
      <c r="E6" s="75"/>
      <c r="F6" s="76"/>
      <c r="G6" s="192"/>
      <c r="H6" s="2253"/>
      <c r="I6" s="2573"/>
    </row>
    <row r="7" spans="1:10" ht="26.25" thickBot="1" x14ac:dyDescent="0.25">
      <c r="A7" s="2571"/>
      <c r="B7" s="2509"/>
      <c r="C7" s="1356" t="str">
        <f>OF!C115</f>
        <v>Data are insufficient (no or inadequate sampling within 1 km, or condition exists only at &gt;1 km upstream). This is the situation for nearly all wetlands in this region.</v>
      </c>
      <c r="D7" s="557">
        <f>OF!D115</f>
        <v>0</v>
      </c>
      <c r="E7" s="89"/>
      <c r="F7" s="79"/>
      <c r="G7" s="211"/>
      <c r="H7" s="2253"/>
      <c r="I7" s="2574"/>
    </row>
    <row r="8" spans="1:10" s="2" customFormat="1" ht="26.25" thickBot="1" x14ac:dyDescent="0.25">
      <c r="A8" s="2265" t="str">
        <f>F!A5</f>
        <v>F1</v>
      </c>
      <c r="B8" s="250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52" t="s">
        <v>1879</v>
      </c>
      <c r="I8" s="2252" t="s">
        <v>1880</v>
      </c>
      <c r="J8" s="49"/>
    </row>
    <row r="9" spans="1:10" s="2" customFormat="1" ht="64.5" thickBot="1" x14ac:dyDescent="0.25">
      <c r="A9" s="2262"/>
      <c r="B9" s="250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53"/>
      <c r="I9" s="2253"/>
      <c r="J9" s="49"/>
    </row>
    <row r="10" spans="1:10" s="2" customFormat="1" ht="76.5" x14ac:dyDescent="0.2">
      <c r="A10" s="2262"/>
      <c r="B10" s="250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253"/>
      <c r="I10" s="2253"/>
      <c r="J10" s="49"/>
    </row>
    <row r="11" spans="1:10" s="2" customFormat="1" ht="51.75" thickBot="1" x14ac:dyDescent="0.25">
      <c r="A11" s="2262"/>
      <c r="B11" s="250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53"/>
      <c r="I11" s="2253"/>
      <c r="J11" s="49"/>
    </row>
    <row r="12" spans="1:10" s="2" customFormat="1" ht="39" thickBot="1" x14ac:dyDescent="0.25">
      <c r="A12" s="2262"/>
      <c r="B12" s="250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53"/>
      <c r="I12" s="2253"/>
      <c r="J12" s="49"/>
    </row>
    <row r="13" spans="1:10" ht="38.25" x14ac:dyDescent="0.2">
      <c r="A13" s="2262"/>
      <c r="B13" s="250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53"/>
      <c r="I13" s="2253"/>
    </row>
    <row r="14" spans="1:10" ht="51.75" thickBot="1" x14ac:dyDescent="0.25">
      <c r="A14" s="2263"/>
      <c r="B14" s="250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54"/>
      <c r="I14" s="2253"/>
    </row>
    <row r="15" spans="1:10" ht="64.5" customHeight="1" thickBot="1" x14ac:dyDescent="0.25">
      <c r="A15" s="2262" t="str">
        <f>F!A142</f>
        <v>F23</v>
      </c>
      <c r="B15" s="2508"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v>
      </c>
      <c r="H15" s="2332" t="s">
        <v>1881</v>
      </c>
      <c r="I15" s="2253" t="s">
        <v>1882</v>
      </c>
    </row>
    <row r="16" spans="1:10" x14ac:dyDescent="0.2">
      <c r="A16" s="2262"/>
      <c r="B16" s="2506"/>
      <c r="C16" s="281" t="str">
        <f>F!C143</f>
        <v>None or trace.</v>
      </c>
      <c r="D16" s="558">
        <f>F!D143</f>
        <v>0</v>
      </c>
      <c r="E16" s="75">
        <v>0</v>
      </c>
      <c r="F16" s="76">
        <f>D16*E16</f>
        <v>0</v>
      </c>
      <c r="G16" s="261"/>
      <c r="H16" s="2332"/>
      <c r="I16" s="2253"/>
    </row>
    <row r="17" spans="1:10" x14ac:dyDescent="0.2">
      <c r="A17" s="2262"/>
      <c r="B17" s="2506"/>
      <c r="C17" s="281" t="str">
        <f>F!C144</f>
        <v>1-20% of the AA.</v>
      </c>
      <c r="D17" s="558">
        <f>F!D144</f>
        <v>0</v>
      </c>
      <c r="E17" s="76">
        <v>1</v>
      </c>
      <c r="F17" s="76">
        <f>D17*E17</f>
        <v>0</v>
      </c>
      <c r="G17" s="261"/>
      <c r="H17" s="2332"/>
      <c r="I17" s="2253"/>
    </row>
    <row r="18" spans="1:10" x14ac:dyDescent="0.2">
      <c r="A18" s="2262"/>
      <c r="B18" s="2506"/>
      <c r="C18" s="281" t="str">
        <f>F!C145</f>
        <v>20-50% of the AA.</v>
      </c>
      <c r="D18" s="558">
        <f>F!D145</f>
        <v>0</v>
      </c>
      <c r="E18" s="76">
        <v>2</v>
      </c>
      <c r="F18" s="76">
        <f>D18*E18</f>
        <v>0</v>
      </c>
      <c r="G18" s="261"/>
      <c r="H18" s="2332"/>
      <c r="I18" s="2253"/>
    </row>
    <row r="19" spans="1:10" x14ac:dyDescent="0.2">
      <c r="A19" s="2262"/>
      <c r="B19" s="2506"/>
      <c r="C19" s="281" t="str">
        <f>F!C146</f>
        <v>50-95% of the AA.</v>
      </c>
      <c r="D19" s="558">
        <f>F!D146</f>
        <v>0</v>
      </c>
      <c r="E19" s="76">
        <v>3</v>
      </c>
      <c r="F19" s="76">
        <f>D19*E19</f>
        <v>0</v>
      </c>
      <c r="G19" s="261"/>
      <c r="H19" s="2332"/>
      <c r="I19" s="2253"/>
    </row>
    <row r="20" spans="1:10" ht="17.25" thickBot="1" x14ac:dyDescent="0.25">
      <c r="A20" s="2262"/>
      <c r="B20" s="2509"/>
      <c r="C20" s="151" t="str">
        <f>F!C147</f>
        <v>&gt;95% of the AA. True for many fringe wetlands.</v>
      </c>
      <c r="D20" s="557">
        <f>F!D147</f>
        <v>0</v>
      </c>
      <c r="E20" s="79">
        <v>4</v>
      </c>
      <c r="F20" s="79">
        <f>D20*E20</f>
        <v>0</v>
      </c>
      <c r="G20" s="264"/>
      <c r="H20" s="2332"/>
      <c r="I20" s="2254"/>
    </row>
    <row r="21" spans="1:10" s="2" customFormat="1" ht="26.25" thickBot="1" x14ac:dyDescent="0.25">
      <c r="A21" s="2261" t="str">
        <f>F!A149</f>
        <v>F24</v>
      </c>
      <c r="B21" s="2555"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52" t="s">
        <v>1883</v>
      </c>
      <c r="I21" s="2252" t="s">
        <v>1884</v>
      </c>
      <c r="J21" s="49"/>
    </row>
    <row r="22" spans="1:10" s="2" customFormat="1" ht="25.5" x14ac:dyDescent="0.2">
      <c r="A22" s="2284"/>
      <c r="B22" s="2512"/>
      <c r="C22" s="1373" t="str">
        <f>F!C150</f>
        <v xml:space="preserve">&lt;1% . In other words, all or nearly all of the AA is covered by water permanently or at least seasonally.  </v>
      </c>
      <c r="D22" s="798">
        <f>F!D150</f>
        <v>0</v>
      </c>
      <c r="E22" s="76">
        <v>5</v>
      </c>
      <c r="F22" s="76">
        <f t="shared" ref="F22:F27" si="0">D22*E22</f>
        <v>0</v>
      </c>
      <c r="G22" s="192"/>
      <c r="H22" s="2253"/>
      <c r="I22" s="2253"/>
      <c r="J22" s="49"/>
    </row>
    <row r="23" spans="1:10" s="2" customFormat="1" x14ac:dyDescent="0.2">
      <c r="A23" s="2284"/>
      <c r="B23" s="2512"/>
      <c r="C23" s="1373" t="str">
        <f>F!C151</f>
        <v>1-25% of the AA,  or &lt;1% but &gt;0.01 ha never contains surface water.</v>
      </c>
      <c r="D23" s="798">
        <f>F!D151</f>
        <v>0</v>
      </c>
      <c r="E23" s="76">
        <v>4</v>
      </c>
      <c r="F23" s="76">
        <f t="shared" si="0"/>
        <v>0</v>
      </c>
      <c r="G23" s="192"/>
      <c r="H23" s="2253"/>
      <c r="I23" s="2253"/>
      <c r="J23" s="49"/>
    </row>
    <row r="24" spans="1:10" s="2" customFormat="1" x14ac:dyDescent="0.2">
      <c r="A24" s="2284"/>
      <c r="B24" s="2512"/>
      <c r="C24" s="1373" t="str">
        <f>F!C152</f>
        <v>25-50% of the AA never contains surface water.</v>
      </c>
      <c r="D24" s="798">
        <f>F!D152</f>
        <v>0</v>
      </c>
      <c r="E24" s="76">
        <v>3</v>
      </c>
      <c r="F24" s="76">
        <f t="shared" si="0"/>
        <v>0</v>
      </c>
      <c r="G24" s="192"/>
      <c r="H24" s="2253"/>
      <c r="I24" s="2253"/>
      <c r="J24" s="49"/>
    </row>
    <row r="25" spans="1:10" s="2" customFormat="1" x14ac:dyDescent="0.2">
      <c r="A25" s="2284"/>
      <c r="B25" s="2512"/>
      <c r="C25" s="1373" t="str">
        <f>F!C153</f>
        <v>50-75% of the AA never contains surface water.</v>
      </c>
      <c r="D25" s="798">
        <f>F!D153</f>
        <v>0</v>
      </c>
      <c r="E25" s="76">
        <v>2</v>
      </c>
      <c r="F25" s="76">
        <f t="shared" si="0"/>
        <v>0</v>
      </c>
      <c r="G25" s="192"/>
      <c r="H25" s="2253"/>
      <c r="I25" s="2253"/>
      <c r="J25" s="49"/>
    </row>
    <row r="26" spans="1:10" s="2" customFormat="1" ht="25.5" x14ac:dyDescent="0.2">
      <c r="A26" s="2284"/>
      <c r="B26" s="2512"/>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53"/>
      <c r="I26" s="2253"/>
      <c r="J26" s="49"/>
    </row>
    <row r="27" spans="1:10" s="2" customFormat="1" ht="26.25" thickBot="1" x14ac:dyDescent="0.25">
      <c r="A27" s="2285"/>
      <c r="B27" s="2556"/>
      <c r="C27" s="1382" t="str">
        <f>F!C155</f>
        <v>&gt; 99%. AND during most years there is never more than 0.1 ha of ponded surface water within the AA. Enter "1" and SKIP to F43 (Channel Connection).</v>
      </c>
      <c r="D27" s="817">
        <f>F!D155</f>
        <v>0</v>
      </c>
      <c r="E27" s="77">
        <v>0</v>
      </c>
      <c r="F27" s="77">
        <f t="shared" si="0"/>
        <v>0</v>
      </c>
      <c r="G27" s="193"/>
      <c r="H27" s="2254"/>
      <c r="I27" s="2254"/>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75" t="str">
        <f>F!A175</f>
        <v>F29</v>
      </c>
      <c r="B29" s="250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v>
      </c>
      <c r="H29" s="2334" t="s">
        <v>1887</v>
      </c>
      <c r="I29" s="2572" t="s">
        <v>1888</v>
      </c>
    </row>
    <row r="30" spans="1:10" x14ac:dyDescent="0.2">
      <c r="A30" s="2377"/>
      <c r="B30" s="2506"/>
      <c r="C30" s="150" t="str">
        <f>F!C176</f>
        <v>&lt;10 cm deep (but &gt;0).</v>
      </c>
      <c r="D30" s="401">
        <f>F!D176</f>
        <v>0</v>
      </c>
      <c r="E30" s="76">
        <v>0</v>
      </c>
      <c r="F30" s="76">
        <f t="shared" ref="F30:F38" si="1">D30*E30</f>
        <v>0</v>
      </c>
      <c r="G30" s="260"/>
      <c r="H30" s="2332"/>
      <c r="I30" s="2573"/>
    </row>
    <row r="31" spans="1:10" x14ac:dyDescent="0.2">
      <c r="A31" s="2377"/>
      <c r="B31" s="2506"/>
      <c r="C31" s="281" t="str">
        <f>F!C177</f>
        <v>10 - 50 cm deep.</v>
      </c>
      <c r="D31" s="558">
        <f>F!D177</f>
        <v>0</v>
      </c>
      <c r="E31" s="76">
        <v>3</v>
      </c>
      <c r="F31" s="76">
        <f t="shared" si="1"/>
        <v>0</v>
      </c>
      <c r="G31" s="261"/>
      <c r="H31" s="2332"/>
      <c r="I31" s="2573"/>
    </row>
    <row r="32" spans="1:10" x14ac:dyDescent="0.2">
      <c r="A32" s="2377"/>
      <c r="B32" s="2506"/>
      <c r="C32" s="281" t="str">
        <f>F!C178</f>
        <v>0.5 - 1 m deep.</v>
      </c>
      <c r="D32" s="558">
        <f>F!D178</f>
        <v>0</v>
      </c>
      <c r="E32" s="76">
        <v>5</v>
      </c>
      <c r="F32" s="76">
        <f t="shared" si="1"/>
        <v>0</v>
      </c>
      <c r="G32" s="261"/>
      <c r="H32" s="2332"/>
      <c r="I32" s="2573"/>
    </row>
    <row r="33" spans="1:9" x14ac:dyDescent="0.2">
      <c r="A33" s="2377"/>
      <c r="B33" s="2506"/>
      <c r="C33" s="281" t="str">
        <f>F!C179</f>
        <v>1 - 2 m deep.</v>
      </c>
      <c r="D33" s="558">
        <f>F!D179</f>
        <v>0</v>
      </c>
      <c r="E33" s="76">
        <v>6</v>
      </c>
      <c r="F33" s="76">
        <f t="shared" si="1"/>
        <v>0</v>
      </c>
      <c r="G33" s="261"/>
      <c r="H33" s="2332"/>
      <c r="I33" s="2573"/>
    </row>
    <row r="34" spans="1:9" ht="17.25" thickBot="1" x14ac:dyDescent="0.25">
      <c r="A34" s="2378"/>
      <c r="B34" s="2507"/>
      <c r="C34" s="249" t="str">
        <f>F!C180</f>
        <v>&gt;2 m deep. True for many fringe wetlands.</v>
      </c>
      <c r="D34" s="794">
        <f>F!D180</f>
        <v>0</v>
      </c>
      <c r="E34" s="77">
        <v>7</v>
      </c>
      <c r="F34" s="77">
        <f t="shared" si="1"/>
        <v>0</v>
      </c>
      <c r="G34" s="262"/>
      <c r="H34" s="2333"/>
      <c r="I34" s="2574"/>
    </row>
    <row r="35" spans="1:9" ht="17.25" thickBot="1" x14ac:dyDescent="0.25">
      <c r="A35" s="2377" t="str">
        <f>F!A182</f>
        <v>F30</v>
      </c>
      <c r="B35" s="2508"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332" t="s">
        <v>1889</v>
      </c>
      <c r="I35" s="2572" t="s">
        <v>1890</v>
      </c>
    </row>
    <row r="36" spans="1:9" ht="25.5" x14ac:dyDescent="0.2">
      <c r="A36" s="2377"/>
      <c r="B36" s="2506"/>
      <c r="C36" s="150" t="str">
        <f>F!C183</f>
        <v xml:space="preserve">One depth class that comprises &gt;90% of the AA’s inundated area (use the classes in the question above). </v>
      </c>
      <c r="D36" s="401">
        <f>F!D183</f>
        <v>0</v>
      </c>
      <c r="E36" s="76">
        <v>0</v>
      </c>
      <c r="F36" s="76">
        <f t="shared" si="1"/>
        <v>0</v>
      </c>
      <c r="G36" s="260"/>
      <c r="H36" s="2332"/>
      <c r="I36" s="2573"/>
    </row>
    <row r="37" spans="1:9" x14ac:dyDescent="0.2">
      <c r="A37" s="2377"/>
      <c r="B37" s="2506"/>
      <c r="C37" s="281" t="str">
        <f>F!C184</f>
        <v>One depth class that comprises 50-90% of the AA's inundated area.</v>
      </c>
      <c r="D37" s="558">
        <f>F!D184</f>
        <v>0</v>
      </c>
      <c r="E37" s="76">
        <v>2</v>
      </c>
      <c r="F37" s="76">
        <f t="shared" si="1"/>
        <v>0</v>
      </c>
      <c r="G37" s="261"/>
      <c r="H37" s="2332"/>
      <c r="I37" s="2573"/>
    </row>
    <row r="38" spans="1:9" ht="17.25" thickBot="1" x14ac:dyDescent="0.25">
      <c r="A38" s="2377"/>
      <c r="B38" s="2509"/>
      <c r="C38" s="151" t="str">
        <f>F!C185</f>
        <v>Neither of above. There are 3 or more depth classes and none occupy &gt;50%.</v>
      </c>
      <c r="D38" s="557">
        <f>F!D185</f>
        <v>0</v>
      </c>
      <c r="E38" s="79">
        <v>3</v>
      </c>
      <c r="F38" s="79">
        <f t="shared" si="1"/>
        <v>0</v>
      </c>
      <c r="G38" s="264"/>
      <c r="H38" s="2332"/>
      <c r="I38" s="2574"/>
    </row>
    <row r="39" spans="1:9" ht="26.25" thickBot="1" x14ac:dyDescent="0.25">
      <c r="A39" s="2265" t="str">
        <f>F!A217</f>
        <v>F36</v>
      </c>
      <c r="B39" s="250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52" t="s">
        <v>1891</v>
      </c>
      <c r="I39" s="2572" t="s">
        <v>1892</v>
      </c>
    </row>
    <row r="40" spans="1:9" ht="25.5" x14ac:dyDescent="0.2">
      <c r="A40" s="2262"/>
      <c r="B40" s="2506"/>
      <c r="C40" s="150" t="str">
        <f>F!C218</f>
        <v>Scattered. More than 30% of such vegetation forms small islands or corridors surrounded by water.</v>
      </c>
      <c r="D40" s="401">
        <f>F!D218</f>
        <v>0</v>
      </c>
      <c r="E40" s="75">
        <v>3</v>
      </c>
      <c r="F40" s="76">
        <f>D40*E40</f>
        <v>0</v>
      </c>
      <c r="G40" s="243"/>
      <c r="H40" s="2253"/>
      <c r="I40" s="2573"/>
    </row>
    <row r="41" spans="1:9" x14ac:dyDescent="0.2">
      <c r="A41" s="2262"/>
      <c r="B41" s="2506"/>
      <c r="C41" s="281" t="str">
        <f>F!C219</f>
        <v>Intermediate.</v>
      </c>
      <c r="D41" s="558">
        <f>F!D219</f>
        <v>0</v>
      </c>
      <c r="E41" s="75">
        <v>2</v>
      </c>
      <c r="F41" s="76">
        <f>D41*E41</f>
        <v>0</v>
      </c>
      <c r="G41" s="243"/>
      <c r="H41" s="2253"/>
      <c r="I41" s="2573"/>
    </row>
    <row r="42" spans="1:9" ht="26.25" thickBot="1" x14ac:dyDescent="0.25">
      <c r="A42" s="2263"/>
      <c r="B42" s="2507"/>
      <c r="C42" s="249" t="str">
        <f>F!C220</f>
        <v>Clumped. More than 70% of such vegetation is in bands along the wetland perimeter or is clumped at one or a few sides of the surface water area.</v>
      </c>
      <c r="D42" s="794">
        <f>F!D220</f>
        <v>0</v>
      </c>
      <c r="E42" s="84">
        <v>0</v>
      </c>
      <c r="F42" s="77">
        <f>D42*E42</f>
        <v>0</v>
      </c>
      <c r="G42" s="572"/>
      <c r="H42" s="2254"/>
      <c r="I42" s="2574"/>
    </row>
    <row r="43" spans="1:9" ht="39" thickBot="1" x14ac:dyDescent="0.25">
      <c r="A43" s="2377" t="str">
        <f>F!A225</f>
        <v>F40</v>
      </c>
      <c r="B43" s="2508"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32" t="s">
        <v>1893</v>
      </c>
      <c r="I43" s="2572" t="s">
        <v>1894</v>
      </c>
    </row>
    <row r="44" spans="1:9" x14ac:dyDescent="0.2">
      <c r="A44" s="2377"/>
      <c r="B44" s="2506"/>
      <c r="C44" s="150" t="str">
        <f>F!C226</f>
        <v>Little or none.</v>
      </c>
      <c r="D44" s="401">
        <f>F!D226</f>
        <v>0</v>
      </c>
      <c r="E44" s="76">
        <v>0</v>
      </c>
      <c r="F44" s="76">
        <f>D44*E44</f>
        <v>0</v>
      </c>
      <c r="G44" s="260"/>
      <c r="H44" s="2332"/>
      <c r="I44" s="2573"/>
    </row>
    <row r="45" spans="1:9" x14ac:dyDescent="0.2">
      <c r="A45" s="2377"/>
      <c r="B45" s="2506"/>
      <c r="C45" s="281" t="str">
        <f>F!C227</f>
        <v>Intermediate.</v>
      </c>
      <c r="D45" s="558">
        <f>F!D227</f>
        <v>0</v>
      </c>
      <c r="E45" s="76">
        <v>2</v>
      </c>
      <c r="F45" s="76">
        <f>D45*E45</f>
        <v>0</v>
      </c>
      <c r="G45" s="555"/>
      <c r="H45" s="2332"/>
      <c r="I45" s="2573"/>
    </row>
    <row r="46" spans="1:9" ht="17.25" thickBot="1" x14ac:dyDescent="0.25">
      <c r="A46" s="2377"/>
      <c r="B46" s="2509"/>
      <c r="C46" s="151" t="str">
        <f>F!C228</f>
        <v>Extensive.</v>
      </c>
      <c r="D46" s="557">
        <f>F!D228</f>
        <v>0</v>
      </c>
      <c r="E46" s="79">
        <v>3</v>
      </c>
      <c r="F46" s="79">
        <f>D46*E46</f>
        <v>0</v>
      </c>
      <c r="G46" s="264"/>
      <c r="H46" s="2332"/>
      <c r="I46" s="2574"/>
    </row>
    <row r="47" spans="1:9" ht="64.5" thickBot="1" x14ac:dyDescent="0.25">
      <c r="A47" s="2575" t="str">
        <f>F!A232</f>
        <v>F43</v>
      </c>
      <c r="B47" s="250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334" t="s">
        <v>8646</v>
      </c>
      <c r="I47" s="2572" t="s">
        <v>1895</v>
      </c>
    </row>
    <row r="48" spans="1:9" x14ac:dyDescent="0.2">
      <c r="A48" s="2377"/>
      <c r="B48" s="2506"/>
      <c r="C48" s="150" t="str">
        <f>F!C233</f>
        <v>Persistent (surface water flows out for &gt;9 months/year).</v>
      </c>
      <c r="D48" s="401">
        <f>F!D233</f>
        <v>0</v>
      </c>
      <c r="E48" s="76">
        <v>3</v>
      </c>
      <c r="F48" s="76">
        <f>D48*E48</f>
        <v>0</v>
      </c>
      <c r="G48" s="260"/>
      <c r="H48" s="2332"/>
      <c r="I48" s="2573"/>
    </row>
    <row r="49" spans="1:10" ht="25.5" x14ac:dyDescent="0.2">
      <c r="A49" s="2377"/>
      <c r="B49" s="2506"/>
      <c r="C49" s="281" t="str">
        <f>F!C234</f>
        <v>Seasonal (surface water flows out for 14 days to 9 months/year, not necessarily consecutive).</v>
      </c>
      <c r="D49" s="558">
        <f>F!D234</f>
        <v>0</v>
      </c>
      <c r="E49" s="76">
        <v>2</v>
      </c>
      <c r="F49" s="76">
        <f>D49*E49</f>
        <v>0</v>
      </c>
      <c r="G49" s="261"/>
      <c r="H49" s="2332"/>
      <c r="I49" s="2573"/>
    </row>
    <row r="50" spans="1:10" x14ac:dyDescent="0.2">
      <c r="A50" s="2377"/>
      <c r="B50" s="2506"/>
      <c r="C50" s="281" t="str">
        <f>F!C235</f>
        <v>Temporary (surface water flows out for &lt;14 days, not necessarily consecutive).</v>
      </c>
      <c r="D50" s="558">
        <f>F!D235</f>
        <v>0</v>
      </c>
      <c r="E50" s="76">
        <v>1</v>
      </c>
      <c r="F50" s="76">
        <f>D50*E50</f>
        <v>0</v>
      </c>
      <c r="G50" s="261"/>
      <c r="H50" s="2332"/>
      <c r="I50" s="2573"/>
    </row>
    <row r="51" spans="1:10" ht="51" x14ac:dyDescent="0.2">
      <c r="A51" s="2377"/>
      <c r="B51" s="250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32"/>
      <c r="I51" s="2573"/>
    </row>
    <row r="52" spans="1:10" ht="39" thickBot="1" x14ac:dyDescent="0.25">
      <c r="A52" s="2378"/>
      <c r="B52" s="250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33"/>
      <c r="I52" s="2574"/>
    </row>
    <row r="53" spans="1:10" ht="26.25" thickBot="1" x14ac:dyDescent="0.25">
      <c r="A53" s="2377" t="str">
        <f>F!A244</f>
        <v>F45</v>
      </c>
      <c r="B53" s="2508"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32" t="s">
        <v>1801</v>
      </c>
      <c r="I53" s="2572" t="s">
        <v>1896</v>
      </c>
    </row>
    <row r="54" spans="1:10" ht="38.25" x14ac:dyDescent="0.2">
      <c r="A54" s="2377"/>
      <c r="B54" s="250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32"/>
      <c r="I54" s="2573"/>
    </row>
    <row r="55" spans="1:10" x14ac:dyDescent="0.2">
      <c r="A55" s="2377"/>
      <c r="B55" s="2506"/>
      <c r="C55" s="281" t="str">
        <f>F!C246</f>
        <v>Bumps into herbaceous vegetation but mostly remains in fairly straight channels.</v>
      </c>
      <c r="D55" s="558">
        <f>F!D246</f>
        <v>0</v>
      </c>
      <c r="E55" s="76">
        <v>1</v>
      </c>
      <c r="F55" s="76">
        <f>D55*E55</f>
        <v>0</v>
      </c>
      <c r="G55" s="261"/>
      <c r="H55" s="2332"/>
      <c r="I55" s="2573"/>
    </row>
    <row r="56" spans="1:10" ht="25.5" x14ac:dyDescent="0.2">
      <c r="A56" s="2377"/>
      <c r="B56" s="2506"/>
      <c r="C56" s="281" t="str">
        <f>F!C247</f>
        <v>Bumps into herbaceous vegetation and mostly spreads throughout, or is in widely meandering, multi-branched, or braided channels.</v>
      </c>
      <c r="D56" s="558">
        <f>F!D247</f>
        <v>0</v>
      </c>
      <c r="E56" s="76">
        <v>3</v>
      </c>
      <c r="F56" s="76">
        <f>D56*E56</f>
        <v>0</v>
      </c>
      <c r="G56" s="261"/>
      <c r="H56" s="2332"/>
      <c r="I56" s="2573"/>
    </row>
    <row r="57" spans="1:10" x14ac:dyDescent="0.2">
      <c r="A57" s="2377"/>
      <c r="B57" s="2506"/>
      <c r="C57" s="281" t="str">
        <f>F!C248</f>
        <v>Bumps into tree trunks and/or shrub stems but mostly remains in fairly straight channels.</v>
      </c>
      <c r="D57" s="558">
        <f>F!D248</f>
        <v>0</v>
      </c>
      <c r="E57" s="76">
        <v>2</v>
      </c>
      <c r="F57" s="76">
        <f>D57*E57</f>
        <v>0</v>
      </c>
      <c r="G57" s="261"/>
      <c r="H57" s="2332"/>
      <c r="I57" s="2573"/>
    </row>
    <row r="58" spans="1:10" ht="26.25" thickBot="1" x14ac:dyDescent="0.25">
      <c r="A58" s="2377"/>
      <c r="B58" s="2509"/>
      <c r="C58" s="151" t="str">
        <f>F!C249</f>
        <v>Bumps into tree trunks and/or shrub stems and follows a fairly indirect path from entrance to exit (meandering, multi-branched, or braided).</v>
      </c>
      <c r="D58" s="557">
        <f>F!D249</f>
        <v>0</v>
      </c>
      <c r="E58" s="79">
        <v>3</v>
      </c>
      <c r="F58" s="79">
        <f>D58*E58</f>
        <v>0</v>
      </c>
      <c r="G58" s="264"/>
      <c r="H58" s="2333"/>
      <c r="I58" s="2574"/>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262" t="str">
        <f>F!A251</f>
        <v>F47</v>
      </c>
      <c r="B60" s="2508" t="str">
        <f>F!B251</f>
        <v>Beaver Probability [SFTS, CC, APP, FA, FR, AM, WBF, WBN, RSB, KMH, PH, Sens]</v>
      </c>
      <c r="C60" s="711" t="str">
        <f>F!C251</f>
        <v>Use of the AA by beaver during the past 5 years is (select most applicable ONE):</v>
      </c>
      <c r="D60" s="802"/>
      <c r="E60" s="75"/>
      <c r="F60" s="78"/>
      <c r="G60" s="348">
        <f>IF((AllSat1&gt;0),"",MAX(F61:F63)/MAX(E61:E63))</f>
        <v>0</v>
      </c>
      <c r="H60" s="2252" t="s">
        <v>1899</v>
      </c>
      <c r="I60" s="2252" t="s">
        <v>1900</v>
      </c>
      <c r="J60" s="49"/>
    </row>
    <row r="61" spans="1:10" s="2" customFormat="1" ht="25.5" x14ac:dyDescent="0.2">
      <c r="A61" s="2262"/>
      <c r="B61" s="2506"/>
      <c r="C61" s="727" t="str">
        <f>F!C252</f>
        <v>Evident from direct observation or presence of gnawed limbs, dams, tracks, dens, lodges, or extensive stands of water-killed trees (snags).</v>
      </c>
      <c r="D61" s="401">
        <f>F!D252</f>
        <v>0</v>
      </c>
      <c r="E61" s="76">
        <v>3</v>
      </c>
      <c r="F61" s="76">
        <f>D61*E61</f>
        <v>0</v>
      </c>
      <c r="G61" s="191"/>
      <c r="H61" s="2253"/>
      <c r="I61" s="2253"/>
      <c r="J61" s="49"/>
    </row>
    <row r="62" spans="1:10" s="2" customFormat="1" ht="51" x14ac:dyDescent="0.2">
      <c r="A62" s="2262"/>
      <c r="B62" s="250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253"/>
      <c r="I62" s="2253"/>
      <c r="J62" s="49"/>
    </row>
    <row r="63" spans="1:10" s="2" customFormat="1" ht="26.25" thickBot="1" x14ac:dyDescent="0.25">
      <c r="A63" s="2262"/>
      <c r="B63" s="2509"/>
      <c r="C63" s="1356" t="str">
        <f>F!C254</f>
        <v xml:space="preserve">Unlikely because site characteristics above are deficient, and/or this is a settled area or other area where beaver are routinely removed. </v>
      </c>
      <c r="D63" s="557">
        <f>F!D254</f>
        <v>0</v>
      </c>
      <c r="E63" s="79">
        <v>0</v>
      </c>
      <c r="F63" s="79">
        <f>D63*E63</f>
        <v>0</v>
      </c>
      <c r="G63" s="211"/>
      <c r="H63" s="2254"/>
      <c r="I63" s="2254"/>
      <c r="J63" s="49"/>
    </row>
    <row r="64" spans="1:10" ht="39" thickBot="1" x14ac:dyDescent="0.25">
      <c r="A64" s="2262" t="str">
        <f>F!A266</f>
        <v>F50</v>
      </c>
      <c r="B64" s="2508"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v>
      </c>
      <c r="H64" s="2332" t="s">
        <v>1901</v>
      </c>
      <c r="I64" s="2572" t="s">
        <v>1902</v>
      </c>
    </row>
    <row r="65" spans="1:9" x14ac:dyDescent="0.2">
      <c r="A65" s="2262"/>
      <c r="B65" s="2506"/>
      <c r="C65" s="252" t="str">
        <f>F!C267</f>
        <v>&lt;5%.</v>
      </c>
      <c r="D65" s="694">
        <f>F!D267</f>
        <v>0</v>
      </c>
      <c r="E65" s="76">
        <v>0</v>
      </c>
      <c r="F65" s="76">
        <f>D65*E65</f>
        <v>0</v>
      </c>
      <c r="G65" s="260"/>
      <c r="H65" s="2332"/>
      <c r="I65" s="2573"/>
    </row>
    <row r="66" spans="1:9" x14ac:dyDescent="0.2">
      <c r="A66" s="2262"/>
      <c r="B66" s="2506"/>
      <c r="C66" s="281" t="str">
        <f>F!C268</f>
        <v>5 to &lt;30%.</v>
      </c>
      <c r="D66" s="558">
        <f>F!D268</f>
        <v>0</v>
      </c>
      <c r="E66" s="76">
        <v>2</v>
      </c>
      <c r="F66" s="76">
        <f>D66*E66</f>
        <v>0</v>
      </c>
      <c r="G66" s="261"/>
      <c r="H66" s="2332"/>
      <c r="I66" s="2573"/>
    </row>
    <row r="67" spans="1:9" x14ac:dyDescent="0.2">
      <c r="A67" s="2262"/>
      <c r="B67" s="2506"/>
      <c r="C67" s="2" t="str">
        <f>F!C269</f>
        <v>30 to &lt;60%.</v>
      </c>
      <c r="D67" s="479">
        <f>F!D269</f>
        <v>0</v>
      </c>
      <c r="E67" s="76">
        <v>3</v>
      </c>
      <c r="F67" s="76">
        <f>D67*E67</f>
        <v>0</v>
      </c>
      <c r="G67" s="261"/>
      <c r="H67" s="2332"/>
      <c r="I67" s="2573"/>
    </row>
    <row r="68" spans="1:9" x14ac:dyDescent="0.2">
      <c r="A68" s="2262"/>
      <c r="B68" s="2506"/>
      <c r="C68" s="151" t="str">
        <f>F!C270</f>
        <v>60 to 90%.</v>
      </c>
      <c r="D68" s="557">
        <f>F!D270</f>
        <v>0</v>
      </c>
      <c r="E68" s="76">
        <v>4</v>
      </c>
      <c r="F68" s="76">
        <f>D68*E68</f>
        <v>0</v>
      </c>
      <c r="G68" s="261"/>
      <c r="H68" s="2332"/>
      <c r="I68" s="2573"/>
    </row>
    <row r="69" spans="1:9" ht="17.25" thickBot="1" x14ac:dyDescent="0.25">
      <c r="A69" s="2262"/>
      <c r="B69" s="2509"/>
      <c r="C69" s="151" t="str">
        <f>F!C271</f>
        <v>&gt;90%, or all the area within 30 m of the AA edge is other wetlands. SKIP to F53.</v>
      </c>
      <c r="D69" s="557">
        <f>F!D271</f>
        <v>0</v>
      </c>
      <c r="E69" s="79">
        <v>6</v>
      </c>
      <c r="F69" s="79">
        <f>D69*E69</f>
        <v>0</v>
      </c>
      <c r="G69" s="264"/>
      <c r="H69" s="2332"/>
      <c r="I69" s="2574"/>
    </row>
    <row r="70" spans="1:9" ht="17.25" thickBot="1" x14ac:dyDescent="0.25">
      <c r="A70" s="2265" t="str">
        <f>F!A337</f>
        <v>F65</v>
      </c>
      <c r="B70" s="2505" t="str">
        <f>F!B337</f>
        <v>pH Measurement [PR, NR, CSP, APP, FA, FR, AM, WBN, Sens]</v>
      </c>
      <c r="C70" s="549" t="str">
        <f>F!C337</f>
        <v>The pH in most of the AA's surface water:</v>
      </c>
      <c r="D70" s="801"/>
      <c r="E70" s="80"/>
      <c r="F70" s="81"/>
      <c r="G70" s="120">
        <f>IF((D73=1),"",IF((D72=1),0.5,IF((D71=""),"",IF((D71&lt;5),0.2,""))))</f>
        <v>0.5</v>
      </c>
      <c r="H70" s="2252" t="s">
        <v>8927</v>
      </c>
      <c r="I70" s="2572" t="s">
        <v>1903</v>
      </c>
    </row>
    <row r="71" spans="1:9" ht="17.25" thickBot="1" x14ac:dyDescent="0.25">
      <c r="A71" s="2262"/>
      <c r="B71" s="2506"/>
      <c r="C71" s="727" t="str">
        <f>F!C338</f>
        <v>Was measured, and is:  [enter the reading in the column to the right.]</v>
      </c>
      <c r="D71" s="1917" t="str">
        <f>IF((F!D338=""),"",F!D338)</f>
        <v/>
      </c>
      <c r="E71" s="76"/>
      <c r="F71" s="76"/>
      <c r="G71" s="243"/>
      <c r="H71" s="2253"/>
      <c r="I71" s="2573"/>
    </row>
    <row r="72" spans="1:9" ht="38.25" x14ac:dyDescent="0.2">
      <c r="A72" s="2262"/>
      <c r="B72" s="2506"/>
      <c r="C72" s="880" t="str">
        <f>F!C339</f>
        <v xml:space="preserve">Was not measured but surface water is present and is darkly tea-coloured.  Or if no surface water, then mosses and plants that indicate peatland (e.g., Labrador tea) are prevalent. Enter "1". </v>
      </c>
      <c r="D72" s="797">
        <f>F!D339</f>
        <v>1</v>
      </c>
      <c r="E72" s="76"/>
      <c r="F72" s="76"/>
      <c r="G72" s="181"/>
      <c r="H72" s="2253"/>
      <c r="I72" s="2573"/>
    </row>
    <row r="73" spans="1:9" ht="17.25" thickBot="1" x14ac:dyDescent="0.25">
      <c r="A73" s="2263"/>
      <c r="B73" s="2507"/>
      <c r="C73" s="711" t="str">
        <f>F!C340</f>
        <v>Neither of above. Enter "1".</v>
      </c>
      <c r="D73" s="480">
        <f>F!D340</f>
        <v>0</v>
      </c>
      <c r="E73" s="77"/>
      <c r="F73" s="77"/>
      <c r="G73" s="182"/>
      <c r="H73" s="2253"/>
      <c r="I73" s="2573"/>
    </row>
    <row r="74" spans="1:9" ht="39" thickBot="1" x14ac:dyDescent="0.25">
      <c r="A74" s="1598" t="s">
        <v>680</v>
      </c>
      <c r="B74" s="1354" t="s">
        <v>1810</v>
      </c>
      <c r="C74" s="1383" t="s">
        <v>803</v>
      </c>
      <c r="D74" s="861">
        <f>S!F26</f>
        <v>0.16666666666666666</v>
      </c>
      <c r="E74" s="89"/>
      <c r="F74" s="83"/>
      <c r="G74" s="576">
        <f>1-D74</f>
        <v>0.83333333333333337</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59" t="str">
        <f>OF!A53</f>
        <v>OF9</v>
      </c>
      <c r="B78" s="2508"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v>
      </c>
      <c r="H78" s="2253" t="s">
        <v>1818</v>
      </c>
      <c r="I78" s="2572" t="s">
        <v>1910</v>
      </c>
    </row>
    <row r="79" spans="1:9" x14ac:dyDescent="0.2">
      <c r="A79" s="2259"/>
      <c r="B79" s="2506"/>
      <c r="C79" s="150" t="str">
        <f>OF!C54</f>
        <v>&lt;100 m.</v>
      </c>
      <c r="D79" s="401">
        <f>OF!D54</f>
        <v>0</v>
      </c>
      <c r="E79" s="93">
        <v>5</v>
      </c>
      <c r="F79" s="76">
        <f t="shared" ref="F79:F90" si="2">D79*E79</f>
        <v>0</v>
      </c>
      <c r="G79" s="260"/>
      <c r="H79" s="2253"/>
      <c r="I79" s="2573"/>
    </row>
    <row r="80" spans="1:9" x14ac:dyDescent="0.2">
      <c r="A80" s="2259"/>
      <c r="B80" s="2506"/>
      <c r="C80" s="281" t="str">
        <f>OF!C55</f>
        <v>100 - 500 m.</v>
      </c>
      <c r="D80" s="558">
        <f>OF!D55</f>
        <v>0</v>
      </c>
      <c r="E80" s="93">
        <v>3</v>
      </c>
      <c r="F80" s="76">
        <f t="shared" si="2"/>
        <v>0</v>
      </c>
      <c r="G80" s="261"/>
      <c r="H80" s="2253"/>
      <c r="I80" s="2573"/>
    </row>
    <row r="81" spans="1:9" x14ac:dyDescent="0.2">
      <c r="A81" s="2259"/>
      <c r="B81" s="2506"/>
      <c r="C81" s="281" t="str">
        <f>OF!C56</f>
        <v>0.5- 1 km.</v>
      </c>
      <c r="D81" s="558">
        <f>OF!D56</f>
        <v>0</v>
      </c>
      <c r="E81" s="93">
        <v>2</v>
      </c>
      <c r="F81" s="76">
        <f t="shared" si="2"/>
        <v>0</v>
      </c>
      <c r="G81" s="261"/>
      <c r="H81" s="2253"/>
      <c r="I81" s="2573"/>
    </row>
    <row r="82" spans="1:9" x14ac:dyDescent="0.2">
      <c r="A82" s="2259"/>
      <c r="B82" s="2506"/>
      <c r="C82" s="281" t="str">
        <f>OF!C57</f>
        <v>1 - 5 km.</v>
      </c>
      <c r="D82" s="558">
        <f>OF!D57</f>
        <v>0</v>
      </c>
      <c r="E82" s="93">
        <v>1</v>
      </c>
      <c r="F82" s="76">
        <f t="shared" si="2"/>
        <v>0</v>
      </c>
      <c r="G82" s="261"/>
      <c r="H82" s="2253"/>
      <c r="I82" s="2573"/>
    </row>
    <row r="83" spans="1:9" ht="17.25" thickBot="1" x14ac:dyDescent="0.25">
      <c r="A83" s="2259"/>
      <c r="B83" s="2509"/>
      <c r="C83" s="151" t="str">
        <f>OF!C58</f>
        <v>&gt;5 km.</v>
      </c>
      <c r="D83" s="557">
        <f>OF!D58</f>
        <v>0</v>
      </c>
      <c r="E83" s="95">
        <v>0</v>
      </c>
      <c r="F83" s="96">
        <f t="shared" si="2"/>
        <v>0</v>
      </c>
      <c r="G83" s="264"/>
      <c r="H83" s="2253"/>
      <c r="I83" s="2574"/>
    </row>
    <row r="84" spans="1:9" ht="26.25" thickBot="1" x14ac:dyDescent="0.25">
      <c r="A84" s="2258" t="str">
        <f>OF!A65</f>
        <v>OF11</v>
      </c>
      <c r="B84" s="250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v>
      </c>
      <c r="H84" s="2252" t="s">
        <v>1820</v>
      </c>
      <c r="I84" s="2572" t="s">
        <v>1911</v>
      </c>
    </row>
    <row r="85" spans="1:9" x14ac:dyDescent="0.2">
      <c r="A85" s="2259"/>
      <c r="B85" s="2506"/>
      <c r="C85" s="2" t="str">
        <f>OF!C66</f>
        <v>&lt;10 m.</v>
      </c>
      <c r="D85" s="479">
        <f>OF!D66</f>
        <v>0</v>
      </c>
      <c r="E85" s="95">
        <v>5</v>
      </c>
      <c r="F85" s="94">
        <f t="shared" si="2"/>
        <v>0</v>
      </c>
      <c r="G85" s="261"/>
      <c r="H85" s="2253"/>
      <c r="I85" s="2573"/>
    </row>
    <row r="86" spans="1:9" x14ac:dyDescent="0.2">
      <c r="A86" s="2259"/>
      <c r="B86" s="2506"/>
      <c r="C86" s="151" t="str">
        <f>OF!C67</f>
        <v>10 - 25 m.</v>
      </c>
      <c r="D86" s="557">
        <f>OF!D67</f>
        <v>0</v>
      </c>
      <c r="E86" s="95">
        <v>4</v>
      </c>
      <c r="F86" s="94">
        <f t="shared" si="2"/>
        <v>0</v>
      </c>
      <c r="G86" s="261"/>
      <c r="H86" s="2253"/>
      <c r="I86" s="2573"/>
    </row>
    <row r="87" spans="1:9" x14ac:dyDescent="0.2">
      <c r="A87" s="2259"/>
      <c r="B87" s="2506"/>
      <c r="C87" s="151" t="str">
        <f>OF!C68</f>
        <v>25 - 50 m.</v>
      </c>
      <c r="D87" s="557">
        <f>OF!D68</f>
        <v>0</v>
      </c>
      <c r="E87" s="95">
        <v>3</v>
      </c>
      <c r="F87" s="94">
        <f t="shared" si="2"/>
        <v>0</v>
      </c>
      <c r="G87" s="261"/>
      <c r="H87" s="2253"/>
      <c r="I87" s="2573"/>
    </row>
    <row r="88" spans="1:9" x14ac:dyDescent="0.2">
      <c r="A88" s="2259"/>
      <c r="B88" s="2506"/>
      <c r="C88" s="151" t="str">
        <f>OF!C69</f>
        <v>50 - 100 m.</v>
      </c>
      <c r="D88" s="557">
        <f>OF!D69</f>
        <v>0</v>
      </c>
      <c r="E88" s="95">
        <v>2</v>
      </c>
      <c r="F88" s="94">
        <f t="shared" si="2"/>
        <v>0</v>
      </c>
      <c r="G88" s="261"/>
      <c r="H88" s="2253"/>
      <c r="I88" s="2573"/>
    </row>
    <row r="89" spans="1:9" x14ac:dyDescent="0.2">
      <c r="A89" s="2259"/>
      <c r="B89" s="2506"/>
      <c r="C89" s="151" t="str">
        <f>OF!C70</f>
        <v>100 - 500 m.</v>
      </c>
      <c r="D89" s="557">
        <f>OF!D70</f>
        <v>0</v>
      </c>
      <c r="E89" s="95">
        <v>1</v>
      </c>
      <c r="F89" s="94">
        <f t="shared" si="2"/>
        <v>0</v>
      </c>
      <c r="G89" s="261"/>
      <c r="H89" s="2253"/>
      <c r="I89" s="2573"/>
    </row>
    <row r="90" spans="1:9" ht="17.25" thickBot="1" x14ac:dyDescent="0.25">
      <c r="A90" s="2260"/>
      <c r="B90" s="2507"/>
      <c r="C90" s="249" t="str">
        <f>OF!C71</f>
        <v>&gt;500 m.</v>
      </c>
      <c r="D90" s="794">
        <f>OF!D71</f>
        <v>0</v>
      </c>
      <c r="E90" s="97">
        <v>0</v>
      </c>
      <c r="F90" s="98">
        <f t="shared" si="2"/>
        <v>0</v>
      </c>
      <c r="G90" s="262"/>
      <c r="H90" s="2254"/>
      <c r="I90" s="2574"/>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60" t="str">
        <f>F!A308</f>
        <v>F58</v>
      </c>
      <c r="B92" s="250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v>
      </c>
      <c r="H92" s="2253" t="s">
        <v>1913</v>
      </c>
      <c r="I92" s="2573" t="s">
        <v>1914</v>
      </c>
    </row>
    <row r="93" spans="1:9" x14ac:dyDescent="0.2">
      <c r="A93" s="2361"/>
      <c r="B93" s="2506"/>
      <c r="C93" s="252" t="str">
        <f>F!C309</f>
        <v>&lt;5% and no inhabited building is within 100 m of the AA.</v>
      </c>
      <c r="D93" s="694">
        <f>F!D309</f>
        <v>0</v>
      </c>
      <c r="E93" s="93">
        <v>3</v>
      </c>
      <c r="F93" s="76">
        <f t="shared" ref="F93:F98" si="3">D93*E93</f>
        <v>0</v>
      </c>
      <c r="G93" s="261"/>
      <c r="H93" s="2253"/>
      <c r="I93" s="2573"/>
    </row>
    <row r="94" spans="1:9" x14ac:dyDescent="0.2">
      <c r="A94" s="2361"/>
      <c r="B94" s="2506"/>
      <c r="C94" s="151" t="str">
        <f>F!C310</f>
        <v>&lt;5% and inhabited building is within 100 m of the AA.</v>
      </c>
      <c r="D94" s="557">
        <f>F!D310</f>
        <v>0</v>
      </c>
      <c r="E94" s="93">
        <v>3</v>
      </c>
      <c r="F94" s="76">
        <f t="shared" si="3"/>
        <v>0</v>
      </c>
      <c r="G94" s="261"/>
      <c r="H94" s="2253"/>
      <c r="I94" s="2573"/>
    </row>
    <row r="95" spans="1:9" x14ac:dyDescent="0.2">
      <c r="A95" s="2361"/>
      <c r="B95" s="2506"/>
      <c r="C95" s="281" t="str">
        <f>F!C311</f>
        <v>5-50% and no inhabited building is within 100 m of the AA.</v>
      </c>
      <c r="D95" s="558">
        <f>F!D311</f>
        <v>0</v>
      </c>
      <c r="E95" s="93">
        <v>2</v>
      </c>
      <c r="F95" s="76">
        <f t="shared" si="3"/>
        <v>0</v>
      </c>
      <c r="G95" s="261"/>
      <c r="H95" s="2253"/>
      <c r="I95" s="2573"/>
    </row>
    <row r="96" spans="1:9" x14ac:dyDescent="0.2">
      <c r="A96" s="2361"/>
      <c r="B96" s="2506"/>
      <c r="C96" s="281" t="str">
        <f>F!C312</f>
        <v>5-50% and inhabited building is within 100 m of the AA.</v>
      </c>
      <c r="D96" s="558">
        <f>F!D312</f>
        <v>0</v>
      </c>
      <c r="E96" s="93">
        <v>2</v>
      </c>
      <c r="F96" s="76">
        <f t="shared" si="3"/>
        <v>0</v>
      </c>
      <c r="G96" s="261"/>
      <c r="H96" s="2253"/>
      <c r="I96" s="2573"/>
    </row>
    <row r="97" spans="1:10" x14ac:dyDescent="0.2">
      <c r="A97" s="2361"/>
      <c r="B97" s="2506"/>
      <c r="C97" s="2" t="str">
        <f>F!C313</f>
        <v>50-95%, with or without inhabited building nearby.</v>
      </c>
      <c r="D97" s="479">
        <f>F!D313</f>
        <v>0</v>
      </c>
      <c r="E97" s="93">
        <v>1</v>
      </c>
      <c r="F97" s="76">
        <f t="shared" si="3"/>
        <v>0</v>
      </c>
      <c r="G97" s="261"/>
      <c r="H97" s="2253"/>
      <c r="I97" s="2573"/>
    </row>
    <row r="98" spans="1:10" ht="17.25" thickBot="1" x14ac:dyDescent="0.25">
      <c r="A98" s="2362"/>
      <c r="B98" s="2507"/>
      <c r="C98" s="249" t="str">
        <f>F!C314</f>
        <v>&gt;95% of the AA with or without inhabited building nearby.</v>
      </c>
      <c r="D98" s="794">
        <f>F!D314</f>
        <v>0</v>
      </c>
      <c r="E98" s="97">
        <v>0</v>
      </c>
      <c r="F98" s="77">
        <f t="shared" si="3"/>
        <v>0</v>
      </c>
      <c r="G98" s="262"/>
      <c r="H98" s="2254"/>
      <c r="I98" s="2574"/>
    </row>
    <row r="99" spans="1:10" ht="51.75"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15"/>
      <c r="B101" s="2315"/>
      <c r="C101" s="2315"/>
      <c r="D101" s="2315"/>
      <c r="E101" s="2315"/>
      <c r="F101" s="2315"/>
      <c r="G101" s="2315"/>
      <c r="H101" s="2315"/>
    </row>
    <row r="102" spans="1:10" ht="38.25" x14ac:dyDescent="0.2">
      <c r="A102" s="2315"/>
      <c r="B102" s="2315"/>
      <c r="C102" s="2315"/>
      <c r="D102" s="2580" t="s">
        <v>1830</v>
      </c>
      <c r="E102" s="2581"/>
      <c r="F102" s="2581"/>
      <c r="G102" s="413">
        <f>AVERAGE(SatPct10,Depth10,DepthEven10,PermWpct10,Lake10a)</f>
        <v>0</v>
      </c>
      <c r="H102" s="656" t="s">
        <v>1919</v>
      </c>
      <c r="I102" s="322" t="s">
        <v>1920</v>
      </c>
      <c r="J102" s="297" t="s">
        <v>1921</v>
      </c>
    </row>
    <row r="103" spans="1:10" ht="38.25" x14ac:dyDescent="0.2">
      <c r="A103" s="2315"/>
      <c r="B103" s="2315"/>
      <c r="C103" s="2315"/>
      <c r="D103" s="2576" t="s">
        <v>1834</v>
      </c>
      <c r="E103" s="2577"/>
      <c r="F103" s="2577"/>
      <c r="G103" s="414">
        <f>AVERAGE(Beaver10,AVERAGE(Wettype10,WoodAbove10,Interspers10,ThruFlo10))</f>
        <v>0</v>
      </c>
      <c r="H103" s="658" t="s">
        <v>9133</v>
      </c>
      <c r="I103" s="323" t="s">
        <v>1922</v>
      </c>
      <c r="J103" s="295" t="s">
        <v>9132</v>
      </c>
    </row>
    <row r="104" spans="1:10" ht="22.5" customHeight="1" x14ac:dyDescent="0.2">
      <c r="A104" s="2315"/>
      <c r="B104" s="2315"/>
      <c r="C104" s="2315"/>
      <c r="D104" s="2576" t="s">
        <v>1923</v>
      </c>
      <c r="E104" s="2577"/>
      <c r="F104" s="2577"/>
      <c r="G104" s="414" t="e">
        <f>APPscore/10</f>
        <v>#VALUE!</v>
      </c>
      <c r="H104" s="658" t="s">
        <v>1924</v>
      </c>
      <c r="I104" s="323" t="s">
        <v>1925</v>
      </c>
      <c r="J104" s="1391" t="s">
        <v>1926</v>
      </c>
    </row>
    <row r="105" spans="1:10" ht="38.25" x14ac:dyDescent="0.2">
      <c r="A105" s="2315"/>
      <c r="B105" s="2315"/>
      <c r="C105" s="2315"/>
      <c r="D105" s="2576" t="s">
        <v>1927</v>
      </c>
      <c r="E105" s="2577"/>
      <c r="F105" s="2577"/>
      <c r="G105" s="414">
        <f>IF((AllSat1=1),"",AVERAGE(OutDura10,Depth10))</f>
        <v>0</v>
      </c>
      <c r="H105" s="658" t="s">
        <v>1928</v>
      </c>
      <c r="I105" s="323" t="s">
        <v>1929</v>
      </c>
      <c r="J105" s="295" t="s">
        <v>1930</v>
      </c>
    </row>
    <row r="106" spans="1:10" ht="26.25" thickBot="1" x14ac:dyDescent="0.25">
      <c r="A106" s="2315"/>
      <c r="B106" s="2315"/>
      <c r="C106" s="2315"/>
      <c r="D106" s="2578" t="s">
        <v>1842</v>
      </c>
      <c r="E106" s="2579"/>
      <c r="F106" s="2579"/>
      <c r="G106" s="415">
        <f>MIN(SedExcess10,AcidicPool10,AltTime10,ToxData10,NatVegCUpct10)</f>
        <v>0</v>
      </c>
      <c r="H106" s="660" t="s">
        <v>1931</v>
      </c>
      <c r="I106" s="324" t="s">
        <v>1932</v>
      </c>
      <c r="J106" s="298" t="s">
        <v>1933</v>
      </c>
    </row>
    <row r="107" spans="1:10" ht="39" customHeight="1" thickBot="1" x14ac:dyDescent="0.25">
      <c r="A107" s="2582"/>
      <c r="B107" s="2583"/>
      <c r="C107" s="2290" t="s">
        <v>1720</v>
      </c>
      <c r="D107" s="2291"/>
      <c r="E107" s="2292"/>
      <c r="F107" s="336" t="s">
        <v>988</v>
      </c>
      <c r="G107" s="1366" t="e">
        <f>IF((Fishless10=1),0,IF((AllSat1=1),0,10*AVERAGE(Hydro10,Struc10,Produc10,AnoxRisk10,Stress10)))</f>
        <v>#VALUE!</v>
      </c>
      <c r="H107" s="2288" t="s">
        <v>8596</v>
      </c>
      <c r="I107" s="2289"/>
      <c r="J107" s="62" t="s">
        <v>1934</v>
      </c>
    </row>
    <row r="108" spans="1:10" ht="51.75" thickBot="1" x14ac:dyDescent="0.25">
      <c r="A108" s="2582"/>
      <c r="B108" s="2583"/>
      <c r="C108" s="2290" t="s">
        <v>1935</v>
      </c>
      <c r="D108" s="2291"/>
      <c r="E108" s="2292"/>
      <c r="F108" s="336" t="s">
        <v>991</v>
      </c>
      <c r="G108" s="1367">
        <f>IF((RareFish10=1),1,10*(AVERAGE(Fishing10,PopDist10, WbirdFeed10, DistRd10,Core10)))</f>
        <v>0</v>
      </c>
      <c r="H108" s="2288" t="s">
        <v>1936</v>
      </c>
      <c r="I108" s="228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A107:B108"/>
    <mergeCell ref="C107:E107"/>
    <mergeCell ref="H107:I107"/>
    <mergeCell ref="C108:E108"/>
    <mergeCell ref="H108:I108"/>
    <mergeCell ref="A92:A98"/>
    <mergeCell ref="B92:B98"/>
    <mergeCell ref="H92:H98"/>
    <mergeCell ref="I92:I98"/>
    <mergeCell ref="A101:C106"/>
    <mergeCell ref="D101:H101"/>
    <mergeCell ref="D105:F105"/>
    <mergeCell ref="D106:F106"/>
    <mergeCell ref="D102:F102"/>
    <mergeCell ref="D103:F103"/>
    <mergeCell ref="D104:F104"/>
    <mergeCell ref="A78:A83"/>
    <mergeCell ref="B78:B83"/>
    <mergeCell ref="H78:H83"/>
    <mergeCell ref="I78:I83"/>
    <mergeCell ref="A84:A90"/>
    <mergeCell ref="B84:B90"/>
    <mergeCell ref="H84:H90"/>
    <mergeCell ref="I84:I90"/>
    <mergeCell ref="A70:A73"/>
    <mergeCell ref="B70:B73"/>
    <mergeCell ref="H70:H73"/>
    <mergeCell ref="I70:I73"/>
    <mergeCell ref="A60:A63"/>
    <mergeCell ref="B60:B63"/>
    <mergeCell ref="H60:H63"/>
    <mergeCell ref="I60:I63"/>
    <mergeCell ref="A64:A69"/>
    <mergeCell ref="B64:B69"/>
    <mergeCell ref="H64:H69"/>
    <mergeCell ref="I64:I69"/>
    <mergeCell ref="A47:A52"/>
    <mergeCell ref="B47:B52"/>
    <mergeCell ref="H47:H52"/>
    <mergeCell ref="I47:I52"/>
    <mergeCell ref="A53:A58"/>
    <mergeCell ref="B53:B58"/>
    <mergeCell ref="H53:H58"/>
    <mergeCell ref="I53:I58"/>
    <mergeCell ref="A39:A42"/>
    <mergeCell ref="B39:B42"/>
    <mergeCell ref="H39:H42"/>
    <mergeCell ref="I39:I42"/>
    <mergeCell ref="A43:A46"/>
    <mergeCell ref="B43:B46"/>
    <mergeCell ref="H43:H46"/>
    <mergeCell ref="I43:I46"/>
    <mergeCell ref="I35:I38"/>
    <mergeCell ref="A35:A38"/>
    <mergeCell ref="B35:B38"/>
    <mergeCell ref="H35:H38"/>
    <mergeCell ref="A29:A34"/>
    <mergeCell ref="B29:B34"/>
    <mergeCell ref="H29:H34"/>
    <mergeCell ref="I29:I34"/>
    <mergeCell ref="I21:I27"/>
    <mergeCell ref="I15:I20"/>
    <mergeCell ref="I3:I7"/>
    <mergeCell ref="A8:A14"/>
    <mergeCell ref="B8:B14"/>
    <mergeCell ref="H8:H14"/>
    <mergeCell ref="I8:I14"/>
    <mergeCell ref="A15:A20"/>
    <mergeCell ref="B15:B20"/>
    <mergeCell ref="H15:H20"/>
    <mergeCell ref="A21:A27"/>
    <mergeCell ref="B21:B27"/>
    <mergeCell ref="H21:H27"/>
    <mergeCell ref="E1:H1"/>
    <mergeCell ref="A1:B1"/>
    <mergeCell ref="H3:H7"/>
    <mergeCell ref="B3:B7"/>
    <mergeCell ref="A3:A7"/>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94" t="s">
        <v>1938</v>
      </c>
      <c r="B1" s="2595"/>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96" t="str">
        <f>OF!A25</f>
        <v>OF4</v>
      </c>
      <c r="B3" s="2544"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v>
      </c>
      <c r="H3" s="2271" t="s">
        <v>1941</v>
      </c>
      <c r="I3" s="384" t="s">
        <v>1942</v>
      </c>
    </row>
    <row r="4" spans="1:11" x14ac:dyDescent="0.2">
      <c r="A4" s="2597"/>
      <c r="B4" s="2544"/>
      <c r="C4" s="150" t="str">
        <f>OF!C26</f>
        <v>&lt;0.01 hectare (about 10 m x 10 m).</v>
      </c>
      <c r="D4" s="401">
        <f>OF!D26</f>
        <v>0</v>
      </c>
      <c r="E4" s="26">
        <v>0</v>
      </c>
      <c r="F4" s="76">
        <f t="shared" ref="F4:F10" si="0">D4*E4</f>
        <v>0</v>
      </c>
      <c r="G4" s="260"/>
      <c r="H4" s="2266"/>
      <c r="I4" s="359"/>
    </row>
    <row r="5" spans="1:11" x14ac:dyDescent="0.2">
      <c r="A5" s="2597"/>
      <c r="B5" s="2544"/>
      <c r="C5" s="150" t="str">
        <f>OF!C27</f>
        <v>0.01 - 0.1 hectare.</v>
      </c>
      <c r="D5" s="401">
        <f>OF!D27</f>
        <v>0</v>
      </c>
      <c r="E5" s="26">
        <v>2</v>
      </c>
      <c r="F5" s="76">
        <f t="shared" si="0"/>
        <v>0</v>
      </c>
      <c r="G5" s="261"/>
      <c r="H5" s="2266"/>
      <c r="I5" s="359"/>
    </row>
    <row r="6" spans="1:11" x14ac:dyDescent="0.2">
      <c r="A6" s="2597"/>
      <c r="B6" s="2544"/>
      <c r="C6" s="150" t="str">
        <f>OF!C28</f>
        <v>0.1 - 1 hectare.</v>
      </c>
      <c r="D6" s="401">
        <f>OF!D28</f>
        <v>0</v>
      </c>
      <c r="E6" s="26">
        <v>3</v>
      </c>
      <c r="F6" s="76">
        <f t="shared" si="0"/>
        <v>0</v>
      </c>
      <c r="G6" s="261"/>
      <c r="H6" s="2266"/>
      <c r="I6" s="359"/>
    </row>
    <row r="7" spans="1:11" x14ac:dyDescent="0.2">
      <c r="A7" s="2597"/>
      <c r="B7" s="2544"/>
      <c r="C7" s="1396" t="str">
        <f>OF!C29</f>
        <v>1 to 10 hectares.</v>
      </c>
      <c r="D7" s="1401">
        <f>OF!D29</f>
        <v>0</v>
      </c>
      <c r="E7" s="26">
        <v>4</v>
      </c>
      <c r="F7" s="76">
        <f t="shared" si="0"/>
        <v>0</v>
      </c>
      <c r="G7" s="261"/>
      <c r="H7" s="2266"/>
      <c r="I7" s="359"/>
    </row>
    <row r="8" spans="1:11" x14ac:dyDescent="0.2">
      <c r="A8" s="2597"/>
      <c r="B8" s="2544"/>
      <c r="C8" s="1396" t="str">
        <f>OF!C30</f>
        <v>10 to 100 hectares.</v>
      </c>
      <c r="D8" s="1401">
        <f>OF!D30</f>
        <v>0</v>
      </c>
      <c r="E8" s="26">
        <v>5</v>
      </c>
      <c r="F8" s="76">
        <f t="shared" si="0"/>
        <v>0</v>
      </c>
      <c r="G8" s="261"/>
      <c r="H8" s="2266"/>
      <c r="I8" s="359"/>
    </row>
    <row r="9" spans="1:11" x14ac:dyDescent="0.2">
      <c r="A9" s="2597"/>
      <c r="B9" s="2544"/>
      <c r="C9" s="1396" t="str">
        <f>OF!C31</f>
        <v>100 to 1000 hectares.</v>
      </c>
      <c r="D9" s="1401">
        <f>OF!D31</f>
        <v>0</v>
      </c>
      <c r="E9" s="25">
        <v>6</v>
      </c>
      <c r="F9" s="76">
        <f t="shared" si="0"/>
        <v>0</v>
      </c>
      <c r="G9" s="261"/>
      <c r="H9" s="2266"/>
      <c r="I9" s="359"/>
    </row>
    <row r="10" spans="1:11" ht="26.25" thickBot="1" x14ac:dyDescent="0.25">
      <c r="A10" s="2597"/>
      <c r="B10" s="2589"/>
      <c r="C10" s="6" t="str">
        <f>OF!C32</f>
        <v>&gt;1000 hectares. [This is nearly always the answer in relatively undeveloped landscapes.]</v>
      </c>
      <c r="D10" s="1402">
        <f>OF!D32</f>
        <v>0</v>
      </c>
      <c r="E10" s="25">
        <v>8</v>
      </c>
      <c r="F10" s="79">
        <f t="shared" si="0"/>
        <v>0</v>
      </c>
      <c r="G10" s="264"/>
      <c r="H10" s="2266"/>
      <c r="I10" s="335"/>
    </row>
    <row r="11" spans="1:11" ht="39" thickBot="1" x14ac:dyDescent="0.25">
      <c r="A11" s="2598" t="str">
        <f>OF!A33</f>
        <v>OF5</v>
      </c>
      <c r="B11" s="2543"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v>
      </c>
      <c r="H11" s="2271" t="s">
        <v>8928</v>
      </c>
      <c r="I11" s="384" t="s">
        <v>1943</v>
      </c>
    </row>
    <row r="12" spans="1:11" ht="51" x14ac:dyDescent="0.2">
      <c r="A12" s="2571"/>
      <c r="B12" s="2544"/>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66"/>
      <c r="I12" s="359"/>
    </row>
    <row r="13" spans="1:11" ht="25.5" x14ac:dyDescent="0.2">
      <c r="A13" s="2571"/>
      <c r="B13" s="2544"/>
      <c r="C13" s="150" t="str">
        <f>OF!C35</f>
        <v>&lt;50 m, but completely separated from the 375-ha vegetated area by those features, and AA does not contain &gt;375 ha of vegetation.</v>
      </c>
      <c r="D13" s="401">
        <f>OF!D35</f>
        <v>0</v>
      </c>
      <c r="E13" s="76">
        <v>6</v>
      </c>
      <c r="F13" s="76">
        <f t="shared" si="1"/>
        <v>0</v>
      </c>
      <c r="G13" s="261"/>
      <c r="H13" s="2266"/>
      <c r="I13" s="359"/>
    </row>
    <row r="14" spans="1:11" x14ac:dyDescent="0.2">
      <c r="A14" s="2571"/>
      <c r="B14" s="2544"/>
      <c r="C14" s="150" t="str">
        <f>OF!C36</f>
        <v>50-500 m, and not separated.</v>
      </c>
      <c r="D14" s="401">
        <f>OF!D36</f>
        <v>0</v>
      </c>
      <c r="E14" s="76">
        <v>5</v>
      </c>
      <c r="F14" s="76">
        <f t="shared" si="1"/>
        <v>0</v>
      </c>
      <c r="G14" s="261"/>
      <c r="H14" s="2266"/>
      <c r="I14" s="359"/>
    </row>
    <row r="15" spans="1:11" x14ac:dyDescent="0.2">
      <c r="A15" s="2571"/>
      <c r="B15" s="2544"/>
      <c r="C15" s="150" t="str">
        <f>OF!C37</f>
        <v>50-500 m, but separated by those features.</v>
      </c>
      <c r="D15" s="401">
        <f>OF!D37</f>
        <v>0</v>
      </c>
      <c r="E15" s="76">
        <v>4</v>
      </c>
      <c r="F15" s="76">
        <f t="shared" si="1"/>
        <v>0</v>
      </c>
      <c r="G15" s="261"/>
      <c r="H15" s="2266"/>
      <c r="I15" s="359"/>
    </row>
    <row r="16" spans="1:11" x14ac:dyDescent="0.2">
      <c r="A16" s="2571"/>
      <c r="B16" s="2544"/>
      <c r="C16" s="150" t="str">
        <f>OF!C38</f>
        <v>0.5 - 5 km, and not separated.</v>
      </c>
      <c r="D16" s="401">
        <f>OF!D38</f>
        <v>0</v>
      </c>
      <c r="E16" s="76">
        <v>3</v>
      </c>
      <c r="F16" s="76">
        <f t="shared" si="1"/>
        <v>0</v>
      </c>
      <c r="G16" s="261"/>
      <c r="H16" s="2266"/>
      <c r="I16" s="359"/>
    </row>
    <row r="17" spans="1:9" x14ac:dyDescent="0.2">
      <c r="A17" s="2571"/>
      <c r="B17" s="2544"/>
      <c r="C17" s="150" t="str">
        <f>OF!C39</f>
        <v>0.5 - 5 km, but separated by those features.</v>
      </c>
      <c r="D17" s="401">
        <f>OF!D39</f>
        <v>0</v>
      </c>
      <c r="E17" s="76">
        <v>2</v>
      </c>
      <c r="F17" s="76">
        <f t="shared" si="1"/>
        <v>0</v>
      </c>
      <c r="G17" s="261"/>
      <c r="H17" s="2266"/>
      <c r="I17" s="359"/>
    </row>
    <row r="18" spans="1:9" ht="26.25" thickBot="1" x14ac:dyDescent="0.25">
      <c r="A18" s="2599"/>
      <c r="B18" s="2545"/>
      <c r="C18" s="253" t="str">
        <f>OF!C40</f>
        <v>None of the above (the closest patches or corridors which are that large are &gt;5 km away).</v>
      </c>
      <c r="D18" s="480">
        <f>OF!D40</f>
        <v>0</v>
      </c>
      <c r="E18" s="77">
        <v>0</v>
      </c>
      <c r="F18" s="77">
        <f t="shared" si="1"/>
        <v>0</v>
      </c>
      <c r="G18" s="262"/>
      <c r="H18" s="2267"/>
      <c r="I18" s="335"/>
    </row>
    <row r="19" spans="1:9" ht="51.75" thickBot="1" x14ac:dyDescent="0.25">
      <c r="A19" s="2597" t="str">
        <f>OF!A46</f>
        <v>OF8</v>
      </c>
      <c r="B19" s="2588"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v>
      </c>
      <c r="H19" s="2266" t="s">
        <v>1148</v>
      </c>
      <c r="I19" s="384" t="s">
        <v>1944</v>
      </c>
    </row>
    <row r="20" spans="1:9" x14ac:dyDescent="0.2">
      <c r="A20" s="2597"/>
      <c r="B20" s="2544"/>
      <c r="C20" s="150" t="str">
        <f>OF!C47</f>
        <v xml:space="preserve">&lt;5% of the land. </v>
      </c>
      <c r="D20" s="401">
        <f>OF!D47</f>
        <v>0</v>
      </c>
      <c r="E20" s="26">
        <v>0</v>
      </c>
      <c r="F20" s="76">
        <f>D20*E20</f>
        <v>0</v>
      </c>
      <c r="G20" s="260"/>
      <c r="H20" s="2266"/>
      <c r="I20" s="359"/>
    </row>
    <row r="21" spans="1:9" x14ac:dyDescent="0.2">
      <c r="A21" s="2597"/>
      <c r="B21" s="2544"/>
      <c r="C21" s="281" t="str">
        <f>OF!C48</f>
        <v>5 to 20% of the land.</v>
      </c>
      <c r="D21" s="558">
        <f>OF!D48</f>
        <v>0</v>
      </c>
      <c r="E21" s="26">
        <v>2</v>
      </c>
      <c r="F21" s="76">
        <f>D21*E21</f>
        <v>0</v>
      </c>
      <c r="G21" s="261"/>
      <c r="H21" s="2266"/>
      <c r="I21" s="359"/>
    </row>
    <row r="22" spans="1:9" x14ac:dyDescent="0.2">
      <c r="A22" s="2597"/>
      <c r="B22" s="2544"/>
      <c r="C22" s="281" t="str">
        <f>OF!C49</f>
        <v>20 to 60% of the land.</v>
      </c>
      <c r="D22" s="558">
        <f>OF!D49</f>
        <v>0</v>
      </c>
      <c r="E22" s="26">
        <v>3</v>
      </c>
      <c r="F22" s="76">
        <f>D22*E22</f>
        <v>0</v>
      </c>
      <c r="G22" s="261"/>
      <c r="H22" s="2266"/>
      <c r="I22" s="359"/>
    </row>
    <row r="23" spans="1:9" x14ac:dyDescent="0.2">
      <c r="A23" s="2597"/>
      <c r="B23" s="2544"/>
      <c r="C23" s="281" t="str">
        <f>OF!C50</f>
        <v>60 to 90% of the land.</v>
      </c>
      <c r="D23" s="558">
        <f>OF!D50</f>
        <v>0</v>
      </c>
      <c r="E23" s="26">
        <v>4</v>
      </c>
      <c r="F23" s="76">
        <f>D23*E23</f>
        <v>0</v>
      </c>
      <c r="G23" s="261"/>
      <c r="H23" s="2266"/>
      <c r="I23" s="359"/>
    </row>
    <row r="24" spans="1:9" ht="17.25" thickBot="1" x14ac:dyDescent="0.25">
      <c r="A24" s="2597"/>
      <c r="B24" s="2589"/>
      <c r="C24" s="151" t="str">
        <f>OF!C51</f>
        <v xml:space="preserve">&gt;90% of the land. </v>
      </c>
      <c r="D24" s="557">
        <f>OF!D51</f>
        <v>0</v>
      </c>
      <c r="E24" s="25">
        <v>5</v>
      </c>
      <c r="F24" s="79">
        <f>D24*E24</f>
        <v>0</v>
      </c>
      <c r="G24" s="264"/>
      <c r="H24" s="2266"/>
      <c r="I24" s="335"/>
    </row>
    <row r="25" spans="1:9" ht="26.25" thickBot="1" x14ac:dyDescent="0.25">
      <c r="A25" s="2600" t="str">
        <f>OF!A65</f>
        <v>OF11</v>
      </c>
      <c r="B25" s="2543"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v>
      </c>
      <c r="H25" s="2271" t="s">
        <v>8739</v>
      </c>
      <c r="I25" s="384" t="s">
        <v>1945</v>
      </c>
    </row>
    <row r="26" spans="1:9" x14ac:dyDescent="0.2">
      <c r="A26" s="2571"/>
      <c r="B26" s="2544"/>
      <c r="C26" s="150" t="str">
        <f>OF!C66</f>
        <v>&lt;10 m.</v>
      </c>
      <c r="D26" s="401">
        <f>OF!D66</f>
        <v>0</v>
      </c>
      <c r="E26" s="93">
        <v>0</v>
      </c>
      <c r="F26" s="76">
        <f t="shared" ref="F26:F31" si="2">D26*E26</f>
        <v>0</v>
      </c>
      <c r="G26" s="260"/>
      <c r="H26" s="2266"/>
      <c r="I26" s="359"/>
    </row>
    <row r="27" spans="1:9" x14ac:dyDescent="0.2">
      <c r="A27" s="2571"/>
      <c r="B27" s="2544"/>
      <c r="C27" s="281" t="str">
        <f>OF!C67</f>
        <v>10 - 25 m.</v>
      </c>
      <c r="D27" s="558">
        <f>OF!D67</f>
        <v>0</v>
      </c>
      <c r="E27" s="93">
        <v>2</v>
      </c>
      <c r="F27" s="76">
        <f t="shared" si="2"/>
        <v>0</v>
      </c>
      <c r="G27" s="261"/>
      <c r="H27" s="2266"/>
      <c r="I27" s="359"/>
    </row>
    <row r="28" spans="1:9" x14ac:dyDescent="0.2">
      <c r="A28" s="2571"/>
      <c r="B28" s="2544"/>
      <c r="C28" s="281" t="str">
        <f>OF!C68</f>
        <v>25 - 50 m.</v>
      </c>
      <c r="D28" s="558">
        <f>OF!D68</f>
        <v>0</v>
      </c>
      <c r="E28" s="93">
        <v>3</v>
      </c>
      <c r="F28" s="76">
        <f t="shared" si="2"/>
        <v>0</v>
      </c>
      <c r="G28" s="261"/>
      <c r="H28" s="2266"/>
      <c r="I28" s="359"/>
    </row>
    <row r="29" spans="1:9" x14ac:dyDescent="0.2">
      <c r="A29" s="2571"/>
      <c r="B29" s="2544"/>
      <c r="C29" s="281" t="str">
        <f>OF!C69</f>
        <v>50 - 100 m.</v>
      </c>
      <c r="D29" s="558">
        <f>OF!D69</f>
        <v>0</v>
      </c>
      <c r="E29" s="93">
        <v>4</v>
      </c>
      <c r="F29" s="76">
        <f t="shared" si="2"/>
        <v>0</v>
      </c>
      <c r="G29" s="261"/>
      <c r="H29" s="2266"/>
      <c r="I29" s="359"/>
    </row>
    <row r="30" spans="1:9" x14ac:dyDescent="0.2">
      <c r="A30" s="2571"/>
      <c r="B30" s="2544"/>
      <c r="C30" s="281" t="str">
        <f>OF!C70</f>
        <v>100 - 500 m.</v>
      </c>
      <c r="D30" s="558">
        <f>OF!D70</f>
        <v>0</v>
      </c>
      <c r="E30" s="93">
        <v>5</v>
      </c>
      <c r="F30" s="76">
        <f t="shared" si="2"/>
        <v>0</v>
      </c>
      <c r="G30" s="261"/>
      <c r="H30" s="2266"/>
      <c r="I30" s="359"/>
    </row>
    <row r="31" spans="1:9" ht="17.25" thickBot="1" x14ac:dyDescent="0.25">
      <c r="A31" s="2599"/>
      <c r="B31" s="2545"/>
      <c r="C31" s="249" t="str">
        <f>OF!C71</f>
        <v>&gt;500 m.</v>
      </c>
      <c r="D31" s="794">
        <f>OF!D71</f>
        <v>0</v>
      </c>
      <c r="E31" s="97">
        <v>7</v>
      </c>
      <c r="F31" s="77">
        <f t="shared" si="2"/>
        <v>0</v>
      </c>
      <c r="G31" s="262"/>
      <c r="H31" s="2267"/>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1946</v>
      </c>
      <c r="I32" s="265" t="s">
        <v>1947</v>
      </c>
    </row>
    <row r="33" spans="1:9" ht="26.25" thickBot="1" x14ac:dyDescent="0.25">
      <c r="A33" s="2598" t="str">
        <f>OF!A74</f>
        <v>OF13</v>
      </c>
      <c r="B33" s="2543"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v>
      </c>
      <c r="H33" s="2271" t="s">
        <v>1948</v>
      </c>
      <c r="I33" s="384" t="s">
        <v>1949</v>
      </c>
    </row>
    <row r="34" spans="1:9" ht="25.5" x14ac:dyDescent="0.2">
      <c r="A34" s="2571"/>
      <c r="B34" s="2544"/>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66"/>
      <c r="I34" s="359"/>
    </row>
    <row r="35" spans="1:9" x14ac:dyDescent="0.2">
      <c r="A35" s="2571"/>
      <c r="B35" s="2544"/>
      <c r="C35" s="150" t="str">
        <f>OF!C76</f>
        <v>&lt;50 m, but completely separated by those features.</v>
      </c>
      <c r="D35" s="401">
        <f>OF!D76</f>
        <v>0</v>
      </c>
      <c r="E35" s="76">
        <v>6</v>
      </c>
      <c r="F35" s="76">
        <f t="shared" si="3"/>
        <v>0</v>
      </c>
      <c r="G35" s="260"/>
      <c r="H35" s="2266"/>
      <c r="I35" s="359"/>
    </row>
    <row r="36" spans="1:9" x14ac:dyDescent="0.2">
      <c r="A36" s="2571"/>
      <c r="B36" s="2544"/>
      <c r="C36" s="150" t="str">
        <f>OF!C77</f>
        <v>50-500 m, and not separated.</v>
      </c>
      <c r="D36" s="401">
        <f>OF!D77</f>
        <v>0</v>
      </c>
      <c r="E36" s="76">
        <v>5</v>
      </c>
      <c r="F36" s="76">
        <f t="shared" si="3"/>
        <v>0</v>
      </c>
      <c r="G36" s="260"/>
      <c r="H36" s="2266"/>
      <c r="I36" s="359"/>
    </row>
    <row r="37" spans="1:9" x14ac:dyDescent="0.2">
      <c r="A37" s="2571"/>
      <c r="B37" s="2544"/>
      <c r="C37" s="150" t="str">
        <f>OF!C78</f>
        <v>50-500 m, but separated by those features.</v>
      </c>
      <c r="D37" s="401">
        <f>OF!D78</f>
        <v>0</v>
      </c>
      <c r="E37" s="76">
        <v>4</v>
      </c>
      <c r="F37" s="76">
        <f t="shared" si="3"/>
        <v>0</v>
      </c>
      <c r="G37" s="260"/>
      <c r="H37" s="2266"/>
      <c r="I37" s="359"/>
    </row>
    <row r="38" spans="1:9" x14ac:dyDescent="0.2">
      <c r="A38" s="2571"/>
      <c r="B38" s="2544"/>
      <c r="C38" s="150" t="str">
        <f>OF!C79</f>
        <v>0.5 - 1 km, and not separated.</v>
      </c>
      <c r="D38" s="401">
        <f>OF!D79</f>
        <v>0</v>
      </c>
      <c r="E38" s="76">
        <v>3</v>
      </c>
      <c r="F38" s="76">
        <f t="shared" si="3"/>
        <v>0</v>
      </c>
      <c r="G38" s="260"/>
      <c r="H38" s="2266"/>
      <c r="I38" s="359"/>
    </row>
    <row r="39" spans="1:9" x14ac:dyDescent="0.2">
      <c r="A39" s="2571"/>
      <c r="B39" s="2544"/>
      <c r="C39" s="150" t="str">
        <f>OF!C80</f>
        <v>0.5 - 1 km, but separated by those features.</v>
      </c>
      <c r="D39" s="401">
        <f>OF!D80</f>
        <v>0</v>
      </c>
      <c r="E39" s="76">
        <v>2</v>
      </c>
      <c r="F39" s="76">
        <f t="shared" si="3"/>
        <v>0</v>
      </c>
      <c r="G39" s="261"/>
      <c r="H39" s="2266"/>
      <c r="I39" s="359"/>
    </row>
    <row r="40" spans="1:9" ht="17.25" thickBot="1" x14ac:dyDescent="0.25">
      <c r="A40" s="2599"/>
      <c r="B40" s="2545"/>
      <c r="C40" s="253" t="str">
        <f>OF!C81</f>
        <v>None of the above (the closest patches or corridors that large are &gt;1 km away).</v>
      </c>
      <c r="D40" s="480">
        <f>OF!D81</f>
        <v>0</v>
      </c>
      <c r="E40" s="77">
        <v>0</v>
      </c>
      <c r="F40" s="77">
        <f t="shared" si="3"/>
        <v>0</v>
      </c>
      <c r="G40" s="262"/>
      <c r="H40" s="2267"/>
      <c r="I40" s="335"/>
    </row>
    <row r="41" spans="1:9" ht="39" thickBot="1" x14ac:dyDescent="0.25">
      <c r="A41" s="2571" t="str">
        <f>OF!A111</f>
        <v>OF20</v>
      </c>
      <c r="B41" s="2508"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v>
      </c>
      <c r="H41" s="2266" t="s">
        <v>1950</v>
      </c>
      <c r="I41" s="384" t="s">
        <v>1951</v>
      </c>
    </row>
    <row r="42" spans="1:9" x14ac:dyDescent="0.2">
      <c r="A42" s="2571"/>
      <c r="B42" s="2506"/>
      <c r="C42" s="727" t="str">
        <f>OF!C112</f>
        <v>The condition is present within the AA.</v>
      </c>
      <c r="D42" s="401">
        <f>OF!D112</f>
        <v>0</v>
      </c>
      <c r="E42" s="93"/>
      <c r="F42" s="76"/>
      <c r="G42" s="260"/>
      <c r="H42" s="2266"/>
      <c r="I42" s="359"/>
    </row>
    <row r="43" spans="1:9" ht="25.5" x14ac:dyDescent="0.2">
      <c r="A43" s="2571"/>
      <c r="B43" s="2506"/>
      <c r="C43" s="727" t="str">
        <f>OF!C113</f>
        <v>The condition is present in waters within 1 km that flow into the AA, but has not been documented in the AA itself.</v>
      </c>
      <c r="D43" s="401">
        <f>OF!D113</f>
        <v>0</v>
      </c>
      <c r="E43" s="93"/>
      <c r="F43" s="76"/>
      <c r="G43" s="261"/>
      <c r="H43" s="2266"/>
      <c r="I43" s="359"/>
    </row>
    <row r="44" spans="1:9" ht="25.5" x14ac:dyDescent="0.2">
      <c r="A44" s="2571"/>
      <c r="B44" s="2506"/>
      <c r="C44" s="727" t="str">
        <f>OF!C114</f>
        <v>Sampling during both low water periods and times with high runoff (storms, snowmelt) indicates no problems in either the AA or inflowing waters.</v>
      </c>
      <c r="D44" s="401">
        <f>OF!D114</f>
        <v>0</v>
      </c>
      <c r="E44" s="93"/>
      <c r="F44" s="76"/>
      <c r="G44" s="261"/>
      <c r="H44" s="2266"/>
      <c r="I44" s="359"/>
    </row>
    <row r="45" spans="1:9" ht="26.25" thickBot="1" x14ac:dyDescent="0.25">
      <c r="A45" s="2571"/>
      <c r="B45" s="2509"/>
      <c r="C45" s="10" t="str">
        <f>OF!C115</f>
        <v>Data are insufficient (no or inadequate sampling within 1 km, or condition exists only at &gt;1 km upstream). This is the situation for nearly all wetlands in this region.</v>
      </c>
      <c r="D45" s="479">
        <f>OF!D115</f>
        <v>0</v>
      </c>
      <c r="E45" s="95"/>
      <c r="F45" s="79"/>
      <c r="G45" s="264"/>
      <c r="H45" s="2266"/>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8659</v>
      </c>
      <c r="I47" s="265" t="s">
        <v>8554</v>
      </c>
    </row>
    <row r="48" spans="1:9" ht="26.25" thickBot="1" x14ac:dyDescent="0.25">
      <c r="A48" s="2262" t="str">
        <f>F!A5</f>
        <v>F1</v>
      </c>
      <c r="B48" s="2508" t="str">
        <f>F!B5</f>
        <v>Vegetation, Water, Soil [SFTS, NR, CSP, CC, APP, FA, FR, AM, WBF, WBN, KMH, Sens]</v>
      </c>
      <c r="C48" s="253" t="str">
        <f>F!C5</f>
        <v>Follow the key below and mark the ONE row that best describes MOST of the vegetated part of the AA:</v>
      </c>
      <c r="D48" s="1404"/>
      <c r="E48" s="99"/>
      <c r="F48" s="90"/>
      <c r="G48" s="352">
        <f>MAX(F49:F54)/MAX(E49:E54)</f>
        <v>0</v>
      </c>
      <c r="H48" s="2266" t="s">
        <v>1953</v>
      </c>
      <c r="I48" s="359" t="s">
        <v>1954</v>
      </c>
    </row>
    <row r="49" spans="1:14" ht="63.75" x14ac:dyDescent="0.2">
      <c r="A49" s="2262"/>
      <c r="B49" s="250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266"/>
      <c r="I49" s="359"/>
    </row>
    <row r="50" spans="1:14" ht="89.25" x14ac:dyDescent="0.2">
      <c r="A50" s="2262"/>
      <c r="B50" s="250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266"/>
      <c r="I50" s="359"/>
    </row>
    <row r="51" spans="1:14" ht="51" x14ac:dyDescent="0.2">
      <c r="A51" s="2262"/>
      <c r="B51" s="250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266"/>
      <c r="I51" s="359"/>
    </row>
    <row r="52" spans="1:14" ht="38.25" x14ac:dyDescent="0.2">
      <c r="A52" s="2262"/>
      <c r="B52" s="250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266"/>
      <c r="I52" s="359"/>
    </row>
    <row r="53" spans="1:14" ht="38.25" x14ac:dyDescent="0.2">
      <c r="A53" s="2262"/>
      <c r="B53" s="250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266"/>
      <c r="I53" s="359"/>
    </row>
    <row r="54" spans="1:14" ht="51.75" thickBot="1" x14ac:dyDescent="0.25">
      <c r="A54" s="2262"/>
      <c r="B54" s="2509"/>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267"/>
      <c r="I54" s="335"/>
    </row>
    <row r="55" spans="1:14" ht="51.75" thickBot="1" x14ac:dyDescent="0.25">
      <c r="A55" s="2265" t="str">
        <f>F!A13</f>
        <v>F2</v>
      </c>
      <c r="B55" s="250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v>
      </c>
      <c r="H55" s="2271" t="s">
        <v>8647</v>
      </c>
      <c r="I55" s="384" t="s">
        <v>1955</v>
      </c>
    </row>
    <row r="56" spans="1:14" x14ac:dyDescent="0.2">
      <c r="A56" s="2262"/>
      <c r="B56" s="2506"/>
      <c r="C56" s="150" t="str">
        <f>F!C14</f>
        <v>A1.</v>
      </c>
      <c r="D56" s="401">
        <f>F!D14</f>
        <v>0</v>
      </c>
      <c r="E56" s="93"/>
      <c r="F56" s="76"/>
      <c r="G56" s="261"/>
      <c r="H56" s="2266"/>
      <c r="I56" s="359"/>
    </row>
    <row r="57" spans="1:14" x14ac:dyDescent="0.2">
      <c r="A57" s="2262"/>
      <c r="B57" s="2506"/>
      <c r="C57" s="281" t="str">
        <f>F!C15</f>
        <v>A2.</v>
      </c>
      <c r="D57" s="558">
        <f>F!D15</f>
        <v>0</v>
      </c>
      <c r="E57" s="93"/>
      <c r="F57" s="76"/>
      <c r="G57" s="261"/>
      <c r="H57" s="2266"/>
      <c r="I57" s="359"/>
    </row>
    <row r="58" spans="1:14" x14ac:dyDescent="0.2">
      <c r="A58" s="2262"/>
      <c r="B58" s="2506"/>
      <c r="C58" s="281" t="str">
        <f>F!C16</f>
        <v>B1.</v>
      </c>
      <c r="D58" s="558">
        <f>F!D16</f>
        <v>0</v>
      </c>
      <c r="E58" s="93"/>
      <c r="F58" s="76"/>
      <c r="G58" s="261"/>
      <c r="H58" s="2266"/>
      <c r="I58" s="359"/>
    </row>
    <row r="59" spans="1:14" ht="17.25" thickBot="1" x14ac:dyDescent="0.25">
      <c r="A59" s="2263"/>
      <c r="B59" s="2507"/>
      <c r="C59" s="249" t="str">
        <f>F!C17</f>
        <v>B2.</v>
      </c>
      <c r="D59" s="794">
        <f>F!D17</f>
        <v>0</v>
      </c>
      <c r="E59" s="97"/>
      <c r="F59" s="77"/>
      <c r="G59" s="262"/>
      <c r="H59" s="2267"/>
      <c r="I59" s="335"/>
    </row>
    <row r="60" spans="1:14" ht="39" thickBot="1" x14ac:dyDescent="0.25">
      <c r="A60" s="2377" t="str">
        <f>F!A33</f>
        <v>F5</v>
      </c>
      <c r="B60" s="2588"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271" t="s">
        <v>8929</v>
      </c>
      <c r="I60" s="384" t="s">
        <v>1956</v>
      </c>
      <c r="N60" s="3" t="s">
        <v>1406</v>
      </c>
    </row>
    <row r="61" spans="1:14" x14ac:dyDescent="0.2">
      <c r="A61" s="2377"/>
      <c r="B61" s="2544"/>
      <c r="C61" s="150" t="str">
        <f>F!C34</f>
        <v>coniferous, 1-9 cm diameter and &gt;1 m tall.</v>
      </c>
      <c r="D61" s="401">
        <f>F!D34</f>
        <v>0</v>
      </c>
      <c r="E61" s="76">
        <v>1</v>
      </c>
      <c r="F61" s="76">
        <f t="shared" ref="F61:F75" si="4">D61*E61</f>
        <v>0</v>
      </c>
      <c r="G61" s="260"/>
      <c r="H61" s="2266"/>
      <c r="I61" s="359"/>
    </row>
    <row r="62" spans="1:14" x14ac:dyDescent="0.2">
      <c r="A62" s="2377"/>
      <c r="B62" s="2544"/>
      <c r="C62" s="281" t="str">
        <f>F!C35</f>
        <v>broad-leaved deciduous 1-9 cm diameter and &gt;1 m tall.</v>
      </c>
      <c r="D62" s="558">
        <f>F!D35</f>
        <v>0</v>
      </c>
      <c r="E62" s="76">
        <v>1</v>
      </c>
      <c r="F62" s="76">
        <f t="shared" si="4"/>
        <v>0</v>
      </c>
      <c r="G62" s="261"/>
      <c r="H62" s="2266"/>
      <c r="I62" s="359"/>
    </row>
    <row r="63" spans="1:14" x14ac:dyDescent="0.2">
      <c r="A63" s="2377"/>
      <c r="B63" s="2544"/>
      <c r="C63" s="281" t="str">
        <f>F!C36</f>
        <v>coniferous, 10-19 cm diameter.</v>
      </c>
      <c r="D63" s="558">
        <f>F!D36</f>
        <v>0</v>
      </c>
      <c r="E63" s="76">
        <v>2</v>
      </c>
      <c r="F63" s="76">
        <f t="shared" si="4"/>
        <v>0</v>
      </c>
      <c r="G63" s="261"/>
      <c r="H63" s="2266"/>
      <c r="I63" s="359"/>
    </row>
    <row r="64" spans="1:14" x14ac:dyDescent="0.2">
      <c r="A64" s="2377"/>
      <c r="B64" s="2544"/>
      <c r="C64" s="281" t="str">
        <f>F!C37</f>
        <v>broad-leaved deciduous 10-19 cm diameter.</v>
      </c>
      <c r="D64" s="558">
        <f>F!D37</f>
        <v>0</v>
      </c>
      <c r="E64" s="76">
        <v>2</v>
      </c>
      <c r="F64" s="76">
        <f t="shared" si="4"/>
        <v>0</v>
      </c>
      <c r="G64" s="261"/>
      <c r="H64" s="2266"/>
      <c r="I64" s="359"/>
    </row>
    <row r="65" spans="1:11" x14ac:dyDescent="0.2">
      <c r="A65" s="2377"/>
      <c r="B65" s="2544"/>
      <c r="C65" s="281" t="str">
        <f>F!C38</f>
        <v>coniferous, 20-40 cm diameter.</v>
      </c>
      <c r="D65" s="558">
        <f>F!D38</f>
        <v>0</v>
      </c>
      <c r="E65" s="76">
        <v>3</v>
      </c>
      <c r="F65" s="76">
        <f t="shared" si="4"/>
        <v>0</v>
      </c>
      <c r="G65" s="261"/>
      <c r="H65" s="2266"/>
      <c r="I65" s="359"/>
    </row>
    <row r="66" spans="1:11" x14ac:dyDescent="0.2">
      <c r="A66" s="2377"/>
      <c r="B66" s="2544"/>
      <c r="C66" s="281" t="str">
        <f>F!C39</f>
        <v>broad-leaved deciduous 20-40 cm diameter.</v>
      </c>
      <c r="D66" s="558">
        <f>F!D39</f>
        <v>0</v>
      </c>
      <c r="E66" s="76">
        <v>3</v>
      </c>
      <c r="F66" s="76">
        <f t="shared" si="4"/>
        <v>0</v>
      </c>
      <c r="G66" s="261"/>
      <c r="H66" s="2266"/>
      <c r="I66" s="359"/>
    </row>
    <row r="67" spans="1:11" x14ac:dyDescent="0.2">
      <c r="A67" s="2377"/>
      <c r="B67" s="2544"/>
      <c r="C67" s="281" t="str">
        <f>F!C40</f>
        <v>coniferous, &gt;40 cm diameter.</v>
      </c>
      <c r="D67" s="558">
        <f>F!D40</f>
        <v>0</v>
      </c>
      <c r="E67" s="76">
        <v>4</v>
      </c>
      <c r="F67" s="76">
        <f t="shared" si="4"/>
        <v>0</v>
      </c>
      <c r="G67" s="261"/>
      <c r="H67" s="2266"/>
      <c r="I67" s="359"/>
    </row>
    <row r="68" spans="1:11" ht="17.25" thickBot="1" x14ac:dyDescent="0.25">
      <c r="A68" s="2377"/>
      <c r="B68" s="2589"/>
      <c r="C68" s="151" t="str">
        <f>F!C41</f>
        <v>broad-leaved deciduous &gt;40 cm diameter.</v>
      </c>
      <c r="D68" s="557">
        <f>F!D41</f>
        <v>0</v>
      </c>
      <c r="E68" s="79">
        <v>4</v>
      </c>
      <c r="F68" s="79">
        <f t="shared" si="4"/>
        <v>0</v>
      </c>
      <c r="G68" s="264"/>
      <c r="H68" s="2267"/>
      <c r="I68" s="335"/>
    </row>
    <row r="69" spans="1:11" ht="17.25" thickBot="1" x14ac:dyDescent="0.25">
      <c r="A69" s="2265" t="str">
        <f>F!A42</f>
        <v>F6</v>
      </c>
      <c r="B69" s="2505" t="str">
        <f>F!B42</f>
        <v>Height Class Interspersion [NR, AM, RSB, KMH, PH, Sens]</v>
      </c>
      <c r="C69" s="853" t="str">
        <f>F!C42</f>
        <v>Follow the key below and mark the ONE row that best describes MOST of the AA:</v>
      </c>
      <c r="D69" s="801"/>
      <c r="E69" s="80"/>
      <c r="F69" s="80"/>
      <c r="G69" s="120">
        <f>MAX(F71:F75)/MAX(E71:E75)</f>
        <v>0</v>
      </c>
      <c r="H69" s="2271" t="s">
        <v>1957</v>
      </c>
      <c r="I69" s="384" t="s">
        <v>1958</v>
      </c>
    </row>
    <row r="70" spans="1:11" ht="51" x14ac:dyDescent="0.2">
      <c r="A70" s="2262"/>
      <c r="B70" s="250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266"/>
      <c r="I70" s="359"/>
    </row>
    <row r="71" spans="1:11" x14ac:dyDescent="0.2">
      <c r="A71" s="2262"/>
      <c r="B71" s="2506"/>
      <c r="C71" s="281" t="str">
        <f>F!C44</f>
        <v>A1. The two height classes are mostly scattered and intermixed throughout the AA.</v>
      </c>
      <c r="D71" s="558">
        <f>F!D44</f>
        <v>0</v>
      </c>
      <c r="E71" s="76">
        <v>3</v>
      </c>
      <c r="F71" s="76">
        <f t="shared" si="4"/>
        <v>0</v>
      </c>
      <c r="G71" s="261"/>
      <c r="H71" s="2266"/>
      <c r="I71" s="359"/>
    </row>
    <row r="72" spans="1:11" ht="25.5" x14ac:dyDescent="0.2">
      <c r="A72" s="2262"/>
      <c r="B72" s="2506"/>
      <c r="C72" s="281" t="str">
        <f>F!C45</f>
        <v>A2. Not A1.  The two height classes are mostly in separate zones or bands, or in proportionately large clumps.</v>
      </c>
      <c r="D72" s="558">
        <f>F!D45</f>
        <v>0</v>
      </c>
      <c r="E72" s="76">
        <v>2</v>
      </c>
      <c r="F72" s="76">
        <f t="shared" si="4"/>
        <v>0</v>
      </c>
      <c r="G72" s="261"/>
      <c r="H72" s="2266"/>
      <c r="I72" s="359"/>
    </row>
    <row r="73" spans="1:11" ht="38.25" x14ac:dyDescent="0.2">
      <c r="A73" s="2262"/>
      <c r="B73" s="250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266"/>
      <c r="I73" s="359"/>
    </row>
    <row r="74" spans="1:11" ht="25.5" x14ac:dyDescent="0.2">
      <c r="A74" s="2262"/>
      <c r="B74" s="2506"/>
      <c r="C74" s="281" t="str">
        <f>F!C47</f>
        <v>B1. The less prevalent height class is mostly scattered and intermixed within the prevalent one.</v>
      </c>
      <c r="D74" s="558">
        <f>F!D47</f>
        <v>0</v>
      </c>
      <c r="E74" s="76">
        <v>1</v>
      </c>
      <c r="F74" s="76">
        <f t="shared" si="4"/>
        <v>0</v>
      </c>
      <c r="G74" s="261"/>
      <c r="H74" s="2266"/>
      <c r="I74" s="359"/>
    </row>
    <row r="75" spans="1:11" ht="26.25" thickBot="1" x14ac:dyDescent="0.25">
      <c r="A75" s="2263"/>
      <c r="B75" s="2507"/>
      <c r="C75" s="249" t="str">
        <f>F!C48</f>
        <v>B2. Not B1.  The less prevalent height class is mostly located apart from the prevalent one, in separate zones or clumps, or is completely absent.</v>
      </c>
      <c r="D75" s="794">
        <f>F!D48</f>
        <v>0</v>
      </c>
      <c r="E75" s="77">
        <v>0</v>
      </c>
      <c r="F75" s="77">
        <f t="shared" si="4"/>
        <v>0</v>
      </c>
      <c r="G75" s="262"/>
      <c r="H75" s="2267"/>
      <c r="I75" s="335"/>
    </row>
    <row r="76" spans="1:11" ht="26.25" thickBot="1" x14ac:dyDescent="0.25">
      <c r="A76" s="2284" t="str">
        <f>F!A49</f>
        <v>F7</v>
      </c>
      <c r="B76" s="2511"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v>
      </c>
      <c r="H76" s="2271" t="s">
        <v>8649</v>
      </c>
      <c r="I76" s="384" t="s">
        <v>1959</v>
      </c>
    </row>
    <row r="77" spans="1:11" ht="25.5" x14ac:dyDescent="0.2">
      <c r="A77" s="2284"/>
      <c r="B77" s="2512"/>
      <c r="C77" s="1381" t="str">
        <f>F!C50</f>
        <v>&lt;5% of the vegetated part of the AA or &lt;0.01 hectare (whichever is less). Mark "1" here and SKIP to F11 (Invasive Plant Cover).</v>
      </c>
      <c r="D77" s="819">
        <f>F!D50</f>
        <v>0</v>
      </c>
      <c r="E77" s="93">
        <v>0</v>
      </c>
      <c r="F77" s="76">
        <f>D77*E77</f>
        <v>0</v>
      </c>
      <c r="G77" s="260"/>
      <c r="H77" s="2266"/>
      <c r="I77" s="359"/>
    </row>
    <row r="78" spans="1:11" s="2" customFormat="1" x14ac:dyDescent="0.2">
      <c r="A78" s="2284"/>
      <c r="B78" s="2512"/>
      <c r="C78" s="1373" t="str">
        <f>F!C51</f>
        <v>5-25% of the vegetated part of the AA.</v>
      </c>
      <c r="D78" s="798">
        <f>F!D51</f>
        <v>0</v>
      </c>
      <c r="E78" s="93">
        <v>2</v>
      </c>
      <c r="F78" s="76">
        <f>D78*E78</f>
        <v>0</v>
      </c>
      <c r="G78" s="261"/>
      <c r="H78" s="2266"/>
      <c r="I78" s="359"/>
      <c r="J78" s="3"/>
      <c r="K78" s="49"/>
    </row>
    <row r="79" spans="1:11" s="2" customFormat="1" x14ac:dyDescent="0.2">
      <c r="A79" s="2284"/>
      <c r="B79" s="2512"/>
      <c r="C79" s="1373" t="str">
        <f>F!C52</f>
        <v>25-50% of the vegetated part of the AA.</v>
      </c>
      <c r="D79" s="798">
        <f>F!D52</f>
        <v>0</v>
      </c>
      <c r="E79" s="93">
        <v>3</v>
      </c>
      <c r="F79" s="76">
        <f>D79*E79</f>
        <v>0</v>
      </c>
      <c r="G79" s="261"/>
      <c r="H79" s="2266"/>
      <c r="I79" s="359"/>
      <c r="J79" s="3"/>
      <c r="K79" s="49"/>
    </row>
    <row r="80" spans="1:11" s="2" customFormat="1" x14ac:dyDescent="0.2">
      <c r="A80" s="2284"/>
      <c r="B80" s="2512"/>
      <c r="C80" s="1373" t="str">
        <f>F!C53</f>
        <v>50-95% of the vegetated part of the AA.</v>
      </c>
      <c r="D80" s="798">
        <f>F!D53</f>
        <v>0</v>
      </c>
      <c r="E80" s="93">
        <v>4</v>
      </c>
      <c r="F80" s="76">
        <f>D80*E80</f>
        <v>0</v>
      </c>
      <c r="G80" s="261"/>
      <c r="H80" s="2266"/>
      <c r="I80" s="359"/>
      <c r="J80" s="3"/>
      <c r="K80" s="49"/>
    </row>
    <row r="81" spans="1:54" s="2" customFormat="1" ht="17.25" thickBot="1" x14ac:dyDescent="0.25">
      <c r="A81" s="2284"/>
      <c r="B81" s="2513"/>
      <c r="C81" s="1357" t="str">
        <f>F!C54</f>
        <v>&gt;95% of the vegetated part of the AA.</v>
      </c>
      <c r="D81" s="818">
        <f>F!D54</f>
        <v>0</v>
      </c>
      <c r="E81" s="95">
        <v>3</v>
      </c>
      <c r="F81" s="79">
        <f>D81*E81</f>
        <v>0</v>
      </c>
      <c r="G81" s="264"/>
      <c r="H81" s="2267"/>
      <c r="I81" s="335"/>
      <c r="J81" s="3"/>
      <c r="K81" s="49"/>
    </row>
    <row r="82" spans="1:54" ht="39.75" customHeight="1" thickBot="1" x14ac:dyDescent="0.25">
      <c r="A82" s="2575" t="str">
        <f>F!A103</f>
        <v>F16</v>
      </c>
      <c r="B82" s="2543" t="str">
        <f>F!B103</f>
        <v>Downed Wood [AM, POL]</v>
      </c>
      <c r="C82" s="63" t="str">
        <f>F!C103</f>
        <v>The number of downed wood pieces longer than 2 m and with diameter &gt;10 cm, and not persistently submerged, is:</v>
      </c>
      <c r="D82" s="801"/>
      <c r="E82" s="80"/>
      <c r="F82" s="91"/>
      <c r="G82" s="120" t="str">
        <f>IF((MAX(F!D19:D22)&lt;2),"", IF((D83=1),1, ""))</f>
        <v/>
      </c>
      <c r="H82" s="2271" t="s">
        <v>1960</v>
      </c>
      <c r="I82" s="384" t="s">
        <v>1961</v>
      </c>
    </row>
    <row r="83" spans="1:54" x14ac:dyDescent="0.2">
      <c r="A83" s="2377"/>
      <c r="B83" s="2544"/>
      <c r="C83" s="150" t="str">
        <f>F!C104</f>
        <v>Few or none that meet these criteria.</v>
      </c>
      <c r="D83" s="401">
        <f>F!D104</f>
        <v>0</v>
      </c>
      <c r="E83" s="76">
        <v>0</v>
      </c>
      <c r="F83" s="76">
        <f>D83*E83</f>
        <v>0</v>
      </c>
      <c r="G83" s="260"/>
      <c r="H83" s="2266"/>
      <c r="I83" s="359"/>
    </row>
    <row r="84" spans="1:54" ht="21.75" customHeight="1" thickBot="1" x14ac:dyDescent="0.25">
      <c r="A84" s="2378"/>
      <c r="B84" s="2545"/>
      <c r="C84" s="249" t="str">
        <f>F!C105</f>
        <v>Several (&gt;5 if AA is &gt;5 hectares, less for smaller AAs) meet these criteria.</v>
      </c>
      <c r="D84" s="794">
        <f>F!D105</f>
        <v>0</v>
      </c>
      <c r="E84" s="77">
        <v>1</v>
      </c>
      <c r="F84" s="77">
        <f>D84*E84</f>
        <v>0</v>
      </c>
      <c r="G84" s="262"/>
      <c r="H84" s="2267"/>
      <c r="I84" s="335"/>
    </row>
    <row r="85" spans="1:54" ht="39" customHeight="1" thickBot="1" x14ac:dyDescent="0.25">
      <c r="A85" s="2537" t="str">
        <f>F!A107</f>
        <v>F17</v>
      </c>
      <c r="B85" s="2246"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271" t="s">
        <v>1962</v>
      </c>
      <c r="I85" s="384" t="s">
        <v>1963</v>
      </c>
    </row>
    <row r="86" spans="1:54" s="8" customFormat="1" ht="51" customHeight="1" x14ac:dyDescent="0.2">
      <c r="A86" s="2538"/>
      <c r="B86" s="2247"/>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266"/>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38"/>
      <c r="B87" s="2247"/>
      <c r="C87" s="281" t="str">
        <f>F!C109</f>
        <v>Slightly bare ground (5-20% bare between plants) is visible in places, and those areas comprise less than 5% of the unflooded parts of the AA.</v>
      </c>
      <c r="D87" s="558">
        <f>F!D109</f>
        <v>0</v>
      </c>
      <c r="E87" s="26">
        <v>3</v>
      </c>
      <c r="F87" s="76">
        <f>D87*E87</f>
        <v>0</v>
      </c>
      <c r="G87" s="261"/>
      <c r="H87" s="2266"/>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38"/>
      <c r="B88" s="2247"/>
      <c r="C88" s="281" t="str">
        <f>F!C110</f>
        <v xml:space="preserve">Slightly bare ground (5-20% bare between plants) comprises more than 5% of the unflooded parts of the AA, </v>
      </c>
      <c r="D88" s="558">
        <f>F!D110</f>
        <v>0</v>
      </c>
      <c r="E88" s="26">
        <v>1</v>
      </c>
      <c r="F88" s="76">
        <f>D88*E88</f>
        <v>0</v>
      </c>
      <c r="G88" s="261"/>
      <c r="H88" s="2266"/>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38"/>
      <c r="B89" s="2247"/>
      <c r="C89" s="281" t="str">
        <f>F!C111</f>
        <v>Very bare ground (20-50% bare between plants) comprises more than 5% of the unflooded parts of the AA. </v>
      </c>
      <c r="D89" s="558">
        <f>F!D111</f>
        <v>0</v>
      </c>
      <c r="E89" s="25">
        <v>0</v>
      </c>
      <c r="F89" s="79">
        <f>D89*E89</f>
        <v>0</v>
      </c>
      <c r="G89" s="264"/>
      <c r="H89" s="2266"/>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38"/>
      <c r="B90" s="2247"/>
      <c r="C90" s="151" t="str">
        <f>F!C112</f>
        <v>Not applicable. Surface water (either open or obscured by emergent plants) covers all of the AA all the time.</v>
      </c>
      <c r="D90" s="557">
        <f>F!D112</f>
        <v>0</v>
      </c>
      <c r="E90" s="25"/>
      <c r="F90" s="79"/>
      <c r="G90" s="264"/>
      <c r="H90" s="2266"/>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94" t="str">
        <f>F!A124</f>
        <v>F20</v>
      </c>
      <c r="B91" s="2426"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271" t="s">
        <v>1964</v>
      </c>
      <c r="I91" s="384" t="s">
        <v>1965</v>
      </c>
    </row>
    <row r="92" spans="1:54" ht="25.5" customHeight="1" x14ac:dyDescent="0.2">
      <c r="A92" s="2395"/>
      <c r="B92" s="2427"/>
      <c r="C92" s="281" t="str">
        <f>F!C125</f>
        <v>Few or none (minimal microtopography; &lt;1% of the land has such features, or entire AA is always water-covered).</v>
      </c>
      <c r="D92" s="558">
        <f>F!D125</f>
        <v>0</v>
      </c>
      <c r="E92" s="26">
        <v>0</v>
      </c>
      <c r="F92" s="76">
        <f>D92*E92</f>
        <v>0</v>
      </c>
      <c r="G92" s="260"/>
      <c r="H92" s="2266"/>
      <c r="I92" s="359"/>
    </row>
    <row r="93" spans="1:54" x14ac:dyDescent="0.2">
      <c r="A93" s="2395"/>
      <c r="B93" s="2427"/>
      <c r="C93" s="281" t="str">
        <f>F!C126</f>
        <v>Intermediate.</v>
      </c>
      <c r="D93" s="558">
        <f>F!D126</f>
        <v>0</v>
      </c>
      <c r="E93" s="76">
        <v>2</v>
      </c>
      <c r="F93" s="76">
        <f>D93*E93</f>
        <v>0</v>
      </c>
      <c r="G93" s="261"/>
      <c r="H93" s="2266"/>
      <c r="I93" s="359"/>
    </row>
    <row r="94" spans="1:54" ht="17.25" customHeight="1" thickBot="1" x14ac:dyDescent="0.25">
      <c r="A94" s="2396"/>
      <c r="B94" s="2428"/>
      <c r="C94" s="249" t="str">
        <f>F!C127</f>
        <v>Several (extensive micro-topography).</v>
      </c>
      <c r="D94" s="794">
        <f>F!D127</f>
        <v>0</v>
      </c>
      <c r="E94" s="77">
        <v>3</v>
      </c>
      <c r="F94" s="77">
        <f>D94*E94</f>
        <v>0</v>
      </c>
      <c r="G94" s="262"/>
      <c r="H94" s="2267"/>
      <c r="I94" s="335"/>
    </row>
    <row r="95" spans="1:54" s="2" customFormat="1" ht="51.75" customHeight="1" thickBot="1" x14ac:dyDescent="0.25">
      <c r="A95" s="2538" t="str">
        <f>F!A142</f>
        <v>F23</v>
      </c>
      <c r="B95" s="2247"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0</v>
      </c>
      <c r="H95" s="2266" t="s">
        <v>1966</v>
      </c>
      <c r="I95" s="384" t="s">
        <v>1967</v>
      </c>
      <c r="J95" s="3"/>
      <c r="K95" s="49"/>
    </row>
    <row r="96" spans="1:54" s="2" customFormat="1" ht="25.5" customHeight="1" x14ac:dyDescent="0.2">
      <c r="A96" s="2538"/>
      <c r="B96" s="2247"/>
      <c r="C96" s="281" t="str">
        <f>F!C143</f>
        <v>None or trace.</v>
      </c>
      <c r="D96" s="558">
        <f>F!D143</f>
        <v>0</v>
      </c>
      <c r="E96" s="75">
        <v>0</v>
      </c>
      <c r="F96" s="76">
        <f>D96*E96</f>
        <v>0</v>
      </c>
      <c r="G96" s="261"/>
      <c r="H96" s="2266"/>
      <c r="I96" s="359"/>
      <c r="J96" s="3"/>
      <c r="K96" s="49"/>
    </row>
    <row r="97" spans="1:11" x14ac:dyDescent="0.2">
      <c r="A97" s="2538"/>
      <c r="B97" s="2247"/>
      <c r="C97" s="281" t="str">
        <f>F!C144</f>
        <v>1-20% of the AA.</v>
      </c>
      <c r="D97" s="558">
        <f>F!D144</f>
        <v>0</v>
      </c>
      <c r="E97" s="76">
        <v>2</v>
      </c>
      <c r="F97" s="76">
        <f>D97*E97</f>
        <v>0</v>
      </c>
      <c r="G97" s="261"/>
      <c r="H97" s="2266"/>
      <c r="I97" s="359"/>
    </row>
    <row r="98" spans="1:11" x14ac:dyDescent="0.2">
      <c r="A98" s="2538"/>
      <c r="B98" s="2247"/>
      <c r="C98" s="281" t="str">
        <f>F!C145</f>
        <v>20-50% of the AA.</v>
      </c>
      <c r="D98" s="558">
        <f>F!D145</f>
        <v>0</v>
      </c>
      <c r="E98" s="76">
        <v>3</v>
      </c>
      <c r="F98" s="76">
        <f>D98*E98</f>
        <v>0</v>
      </c>
      <c r="G98" s="261"/>
      <c r="H98" s="2266"/>
      <c r="I98" s="359"/>
    </row>
    <row r="99" spans="1:11" x14ac:dyDescent="0.2">
      <c r="A99" s="2538"/>
      <c r="B99" s="2247"/>
      <c r="C99" s="281" t="str">
        <f>F!C146</f>
        <v>50-95% of the AA.</v>
      </c>
      <c r="D99" s="558">
        <f>F!D146</f>
        <v>0</v>
      </c>
      <c r="E99" s="76">
        <v>3</v>
      </c>
      <c r="F99" s="76">
        <f>D99*E99</f>
        <v>0</v>
      </c>
      <c r="G99" s="261"/>
      <c r="H99" s="2266"/>
      <c r="I99" s="359"/>
    </row>
    <row r="100" spans="1:11" ht="17.25" customHeight="1" thickBot="1" x14ac:dyDescent="0.25">
      <c r="A100" s="2538"/>
      <c r="B100" s="2247"/>
      <c r="C100" s="151" t="str">
        <f>F!C147</f>
        <v>&gt;95% of the AA. True for many fringe wetlands.</v>
      </c>
      <c r="D100" s="557">
        <f>F!D147</f>
        <v>0</v>
      </c>
      <c r="E100" s="79">
        <v>3</v>
      </c>
      <c r="F100" s="79">
        <f>D100*E100</f>
        <v>0</v>
      </c>
      <c r="G100" s="264"/>
      <c r="H100" s="2267"/>
      <c r="I100" s="335"/>
    </row>
    <row r="101" spans="1:11" s="2" customFormat="1" ht="39" customHeight="1" thickBot="1" x14ac:dyDescent="0.25">
      <c r="A101" s="2379" t="str">
        <f>F!A149</f>
        <v>F24</v>
      </c>
      <c r="B101" s="2246"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271" t="s">
        <v>1968</v>
      </c>
      <c r="I101" s="283" t="s">
        <v>1969</v>
      </c>
      <c r="J101" s="3"/>
      <c r="K101" s="49"/>
    </row>
    <row r="102" spans="1:11" s="2" customFormat="1" ht="25.5" customHeight="1" x14ac:dyDescent="0.2">
      <c r="A102" s="2380"/>
      <c r="B102" s="2247"/>
      <c r="C102" s="281" t="str">
        <f>F!C150</f>
        <v xml:space="preserve">&lt;1% . In other words, all or nearly all of the AA is covered by water permanently or at least seasonally.  </v>
      </c>
      <c r="D102" s="558">
        <f>F!D150</f>
        <v>0</v>
      </c>
      <c r="E102" s="76">
        <v>5</v>
      </c>
      <c r="F102" s="76">
        <f t="shared" ref="F102:F107" si="5">D102*E102</f>
        <v>0</v>
      </c>
      <c r="G102" s="192"/>
      <c r="H102" s="2266"/>
      <c r="I102" s="64"/>
      <c r="J102" s="3"/>
      <c r="K102" s="49"/>
    </row>
    <row r="103" spans="1:11" s="2" customFormat="1" x14ac:dyDescent="0.2">
      <c r="A103" s="2380"/>
      <c r="B103" s="2247"/>
      <c r="C103" s="281" t="str">
        <f>F!C151</f>
        <v>1-25% of the AA,  or &lt;1% but &gt;0.01 ha never contains surface water.</v>
      </c>
      <c r="D103" s="558">
        <f>F!D151</f>
        <v>0</v>
      </c>
      <c r="E103" s="76">
        <v>6</v>
      </c>
      <c r="F103" s="76">
        <f t="shared" si="5"/>
        <v>0</v>
      </c>
      <c r="G103" s="192"/>
      <c r="H103" s="2266"/>
      <c r="I103" s="64"/>
      <c r="J103" s="3"/>
      <c r="K103" s="49"/>
    </row>
    <row r="104" spans="1:11" s="2" customFormat="1" x14ac:dyDescent="0.2">
      <c r="A104" s="2380"/>
      <c r="B104" s="2247"/>
      <c r="C104" s="281" t="str">
        <f>F!C152</f>
        <v>25-50% of the AA never contains surface water.</v>
      </c>
      <c r="D104" s="558">
        <f>F!D152</f>
        <v>0</v>
      </c>
      <c r="E104" s="76">
        <v>4</v>
      </c>
      <c r="F104" s="76">
        <f t="shared" si="5"/>
        <v>0</v>
      </c>
      <c r="G104" s="192"/>
      <c r="H104" s="2266"/>
      <c r="I104" s="64"/>
      <c r="J104" s="3"/>
      <c r="K104" s="49"/>
    </row>
    <row r="105" spans="1:11" s="2" customFormat="1" ht="16.5" customHeight="1" x14ac:dyDescent="0.2">
      <c r="A105" s="2380"/>
      <c r="B105" s="2247"/>
      <c r="C105" s="281" t="str">
        <f>F!C153</f>
        <v>50-75% of the AA never contains surface water.</v>
      </c>
      <c r="D105" s="558">
        <f>F!D153</f>
        <v>0</v>
      </c>
      <c r="E105" s="76">
        <v>3</v>
      </c>
      <c r="F105" s="76">
        <f t="shared" si="5"/>
        <v>0</v>
      </c>
      <c r="G105" s="192"/>
      <c r="H105" s="2266"/>
      <c r="I105" s="64"/>
      <c r="J105" s="3"/>
      <c r="K105" s="49"/>
    </row>
    <row r="106" spans="1:11" s="2" customFormat="1" ht="25.5" x14ac:dyDescent="0.2">
      <c r="A106" s="2380"/>
      <c r="B106" s="2247"/>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266"/>
      <c r="I106" s="64"/>
      <c r="J106" s="3"/>
      <c r="K106" s="49"/>
    </row>
    <row r="107" spans="1:11" s="2" customFormat="1" ht="26.25" customHeight="1" thickBot="1" x14ac:dyDescent="0.25">
      <c r="A107" s="2381"/>
      <c r="B107" s="2248"/>
      <c r="C107" s="253" t="str">
        <f>F!C155</f>
        <v>&gt; 99%. AND during most years there is never more than 0.1 ha of ponded surface water within the AA. Enter "1" and SKIP to F43 (Channel Connection).</v>
      </c>
      <c r="D107" s="794">
        <f>F!D155</f>
        <v>0</v>
      </c>
      <c r="E107" s="77">
        <v>0</v>
      </c>
      <c r="F107" s="77">
        <f t="shared" si="5"/>
        <v>0</v>
      </c>
      <c r="G107" s="193"/>
      <c r="H107" s="2267"/>
      <c r="I107" s="282"/>
      <c r="J107" s="3"/>
      <c r="K107" s="49"/>
    </row>
    <row r="108" spans="1:11" ht="26.25" thickBot="1" x14ac:dyDescent="0.25">
      <c r="A108" s="2587" t="str">
        <f>F!A168</f>
        <v>F28</v>
      </c>
      <c r="B108" s="2588"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271" t="s">
        <v>8650</v>
      </c>
      <c r="I108" s="384" t="s">
        <v>1970</v>
      </c>
    </row>
    <row r="109" spans="1:11" x14ac:dyDescent="0.2">
      <c r="A109" s="2587"/>
      <c r="B109" s="2544"/>
      <c r="C109" s="150" t="str">
        <f>F!C169</f>
        <v>&lt;10 cm change (stable or nearly so).</v>
      </c>
      <c r="D109" s="401">
        <f>F!D169</f>
        <v>0</v>
      </c>
      <c r="E109" s="76">
        <v>5</v>
      </c>
      <c r="F109" s="76">
        <f>D109*E109</f>
        <v>0</v>
      </c>
      <c r="G109" s="260"/>
      <c r="H109" s="2266"/>
      <c r="I109" s="359"/>
    </row>
    <row r="110" spans="1:11" x14ac:dyDescent="0.2">
      <c r="A110" s="2587"/>
      <c r="B110" s="2544"/>
      <c r="C110" s="281" t="str">
        <f>F!C170</f>
        <v>10 cm - 50 cm change.</v>
      </c>
      <c r="D110" s="558">
        <f>F!D170</f>
        <v>0</v>
      </c>
      <c r="E110" s="76">
        <v>4</v>
      </c>
      <c r="F110" s="76">
        <f>D110*E110</f>
        <v>0</v>
      </c>
      <c r="G110" s="261"/>
      <c r="H110" s="2266"/>
      <c r="I110" s="359"/>
    </row>
    <row r="111" spans="1:11" x14ac:dyDescent="0.2">
      <c r="A111" s="2587"/>
      <c r="B111" s="2544"/>
      <c r="C111" s="281" t="str">
        <f>F!C171</f>
        <v>0.5 - 1 m change.</v>
      </c>
      <c r="D111" s="558">
        <f>F!D171</f>
        <v>0</v>
      </c>
      <c r="E111" s="76">
        <v>3</v>
      </c>
      <c r="F111" s="76">
        <f>D111*E111</f>
        <v>0</v>
      </c>
      <c r="G111" s="261"/>
      <c r="H111" s="2266"/>
      <c r="I111" s="359"/>
    </row>
    <row r="112" spans="1:11" x14ac:dyDescent="0.2">
      <c r="A112" s="2587"/>
      <c r="B112" s="2544"/>
      <c r="C112" s="281" t="str">
        <f>F!C172</f>
        <v>1-2 m change.</v>
      </c>
      <c r="D112" s="558">
        <f>F!D172</f>
        <v>0</v>
      </c>
      <c r="E112" s="79">
        <v>1</v>
      </c>
      <c r="F112" s="79">
        <f>D112*E112</f>
        <v>0</v>
      </c>
      <c r="G112" s="264"/>
      <c r="H112" s="2266"/>
      <c r="I112" s="359"/>
    </row>
    <row r="113" spans="1:9" ht="17.25" thickBot="1" x14ac:dyDescent="0.25">
      <c r="A113" s="2587"/>
      <c r="B113" s="2589"/>
      <c r="C113" s="151" t="str">
        <f>F!C173</f>
        <v>&gt;2 m change.</v>
      </c>
      <c r="D113" s="558">
        <f>F!D173</f>
        <v>0</v>
      </c>
      <c r="E113" s="77">
        <v>0</v>
      </c>
      <c r="F113" s="77">
        <f>D113*E113</f>
        <v>0</v>
      </c>
      <c r="G113" s="262"/>
      <c r="H113" s="2267"/>
      <c r="I113" s="335"/>
    </row>
    <row r="114" spans="1:9" ht="26.25" thickBot="1" x14ac:dyDescent="0.25">
      <c r="A114" s="2590" t="str">
        <f>F!A187</f>
        <v>F31</v>
      </c>
      <c r="B114" s="2591"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0</v>
      </c>
      <c r="H114" s="2271" t="s">
        <v>1971</v>
      </c>
      <c r="I114" s="283" t="s">
        <v>1972</v>
      </c>
    </row>
    <row r="115" spans="1:9" ht="25.5" x14ac:dyDescent="0.2">
      <c r="A115" s="2377"/>
      <c r="B115" s="2544"/>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66"/>
      <c r="I115" s="64"/>
    </row>
    <row r="116" spans="1:9" x14ac:dyDescent="0.2">
      <c r="A116" s="2377"/>
      <c r="B116" s="2544"/>
      <c r="C116" s="281" t="str">
        <f>F!C189</f>
        <v>5-30% of the water.</v>
      </c>
      <c r="D116" s="558">
        <f>F!D189</f>
        <v>0</v>
      </c>
      <c r="E116" s="76">
        <v>3</v>
      </c>
      <c r="F116" s="76">
        <f>D116*E116</f>
        <v>0</v>
      </c>
      <c r="G116" s="192"/>
      <c r="H116" s="2266"/>
      <c r="I116" s="64"/>
    </row>
    <row r="117" spans="1:9" x14ac:dyDescent="0.2">
      <c r="A117" s="2377"/>
      <c r="B117" s="2544"/>
      <c r="C117" s="281" t="str">
        <f>F!C190</f>
        <v>30-70% of the water.</v>
      </c>
      <c r="D117" s="558">
        <f>F!D190</f>
        <v>0</v>
      </c>
      <c r="E117" s="76">
        <v>4</v>
      </c>
      <c r="F117" s="76">
        <f>D117*E117</f>
        <v>0</v>
      </c>
      <c r="G117" s="211"/>
      <c r="H117" s="2266"/>
      <c r="I117" s="64"/>
    </row>
    <row r="118" spans="1:9" x14ac:dyDescent="0.2">
      <c r="A118" s="2377"/>
      <c r="B118" s="2544"/>
      <c r="C118" s="281" t="str">
        <f>F!C191</f>
        <v>70-95% of the water.</v>
      </c>
      <c r="D118" s="558">
        <f>F!D191</f>
        <v>0</v>
      </c>
      <c r="E118" s="76">
        <v>5</v>
      </c>
      <c r="F118" s="76">
        <f>D118*E118</f>
        <v>0</v>
      </c>
      <c r="G118" s="211"/>
      <c r="H118" s="2266"/>
      <c r="I118" s="64"/>
    </row>
    <row r="119" spans="1:9" ht="17.25" thickBot="1" x14ac:dyDescent="0.25">
      <c r="A119" s="2378"/>
      <c r="B119" s="2545"/>
      <c r="C119" s="249" t="str">
        <f>F!C192</f>
        <v>&gt;95% of the water. Includes but not limited to wetlands with no outlets (F42).</v>
      </c>
      <c r="D119" s="794">
        <f>F!D192</f>
        <v>0</v>
      </c>
      <c r="E119" s="77">
        <v>5</v>
      </c>
      <c r="F119" s="77">
        <f>D119*E119</f>
        <v>0</v>
      </c>
      <c r="G119" s="193"/>
      <c r="H119" s="2267"/>
      <c r="I119" s="282"/>
    </row>
    <row r="120" spans="1:9" ht="39" thickBot="1" x14ac:dyDescent="0.25">
      <c r="A120" s="2282" t="str">
        <f>F!A195</f>
        <v>F33</v>
      </c>
      <c r="B120" s="2508"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0</v>
      </c>
      <c r="H120" s="2271" t="s">
        <v>1973</v>
      </c>
      <c r="I120" s="384" t="s">
        <v>1974</v>
      </c>
    </row>
    <row r="121" spans="1:9" ht="25.5" x14ac:dyDescent="0.2">
      <c r="A121" s="2282"/>
      <c r="B121" s="2506"/>
      <c r="C121" s="151" t="str">
        <f>F!C196</f>
        <v>None, or &lt;1% of the AA and largest pool occupies &lt;0.01 hectares. Enter "1" and SKIP to F38 (Floating Algae &amp; Duckweed).</v>
      </c>
      <c r="D121" s="557">
        <f>F!D196</f>
        <v>0</v>
      </c>
      <c r="E121" s="26">
        <v>0</v>
      </c>
      <c r="F121" s="76">
        <f t="shared" ref="F121:F126" si="6">D121*E121</f>
        <v>0</v>
      </c>
      <c r="G121" s="260"/>
      <c r="H121" s="2266"/>
      <c r="I121" s="359"/>
    </row>
    <row r="122" spans="1:9" x14ac:dyDescent="0.2">
      <c r="A122" s="2282"/>
      <c r="B122" s="2506"/>
      <c r="C122" s="281" t="str">
        <f>F!C197</f>
        <v>1-4% of the ponded water. Enter "1" and SKIP to F38 (Floating Algae &amp; Duckweed).</v>
      </c>
      <c r="D122" s="558">
        <f>F!D197</f>
        <v>0</v>
      </c>
      <c r="E122" s="26">
        <v>2</v>
      </c>
      <c r="F122" s="76">
        <f t="shared" si="6"/>
        <v>0</v>
      </c>
      <c r="G122" s="261"/>
      <c r="H122" s="2266"/>
      <c r="I122" s="359"/>
    </row>
    <row r="123" spans="1:9" x14ac:dyDescent="0.2">
      <c r="A123" s="2282"/>
      <c r="B123" s="2506"/>
      <c r="C123" s="281" t="str">
        <f>F!C198</f>
        <v>5-30% of the ponded water.</v>
      </c>
      <c r="D123" s="558">
        <f>F!D198</f>
        <v>0</v>
      </c>
      <c r="E123" s="26">
        <v>3</v>
      </c>
      <c r="F123" s="76">
        <f t="shared" si="6"/>
        <v>0</v>
      </c>
      <c r="G123" s="261"/>
      <c r="H123" s="2266"/>
      <c r="I123" s="359"/>
    </row>
    <row r="124" spans="1:9" x14ac:dyDescent="0.2">
      <c r="A124" s="2282"/>
      <c r="B124" s="2506"/>
      <c r="C124" s="281" t="str">
        <f>F!C199</f>
        <v>30-70% of the ponded water.</v>
      </c>
      <c r="D124" s="558">
        <f>F!D199</f>
        <v>0</v>
      </c>
      <c r="E124" s="26">
        <v>3</v>
      </c>
      <c r="F124" s="76">
        <f t="shared" si="6"/>
        <v>0</v>
      </c>
      <c r="G124" s="261"/>
      <c r="H124" s="2266"/>
      <c r="I124" s="359"/>
    </row>
    <row r="125" spans="1:9" x14ac:dyDescent="0.2">
      <c r="A125" s="2282"/>
      <c r="B125" s="2506"/>
      <c r="C125" s="281" t="str">
        <f>F!C200</f>
        <v>70-99% of the ponded water.</v>
      </c>
      <c r="D125" s="558">
        <f>F!D200</f>
        <v>0</v>
      </c>
      <c r="E125" s="26">
        <v>1</v>
      </c>
      <c r="F125" s="76">
        <f t="shared" si="6"/>
        <v>0</v>
      </c>
      <c r="G125" s="264"/>
      <c r="H125" s="2266"/>
      <c r="I125" s="359"/>
    </row>
    <row r="126" spans="1:9" ht="17.25" thickBot="1" x14ac:dyDescent="0.25">
      <c r="A126" s="2282"/>
      <c r="B126" s="2509"/>
      <c r="C126" s="2" t="str">
        <f>F!C201</f>
        <v xml:space="preserve">100% of the ponded water. </v>
      </c>
      <c r="D126" s="480">
        <f>F!D201</f>
        <v>0</v>
      </c>
      <c r="E126" s="25">
        <v>0</v>
      </c>
      <c r="F126" s="79">
        <f t="shared" si="6"/>
        <v>0</v>
      </c>
      <c r="G126" s="264"/>
      <c r="H126" s="2267"/>
      <c r="I126" s="335"/>
    </row>
    <row r="127" spans="1:9" ht="39" thickBot="1" x14ac:dyDescent="0.25">
      <c r="A127" s="2590" t="str">
        <f>F!A202</f>
        <v>F34</v>
      </c>
      <c r="B127" s="2555"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v>
      </c>
      <c r="H127" s="2271" t="s">
        <v>1975</v>
      </c>
      <c r="I127" s="384" t="s">
        <v>1976</v>
      </c>
    </row>
    <row r="128" spans="1:9" x14ac:dyDescent="0.2">
      <c r="A128" s="2592"/>
      <c r="B128" s="2512"/>
      <c r="C128" s="1357" t="str">
        <f>F!C203</f>
        <v>&lt;1 m.</v>
      </c>
      <c r="D128" s="818">
        <f>F!D203</f>
        <v>0</v>
      </c>
      <c r="E128" s="99">
        <v>0</v>
      </c>
      <c r="F128" s="76">
        <f t="shared" ref="F128:F133" si="7">D128*E128</f>
        <v>0</v>
      </c>
      <c r="G128" s="260"/>
      <c r="H128" s="2266"/>
      <c r="I128" s="359"/>
    </row>
    <row r="129" spans="1:9" x14ac:dyDescent="0.2">
      <c r="A129" s="2592"/>
      <c r="B129" s="2512"/>
      <c r="C129" s="1374" t="str">
        <f>F!C204</f>
        <v>1 - 9 m.</v>
      </c>
      <c r="D129" s="799">
        <f>F!D204</f>
        <v>0</v>
      </c>
      <c r="E129" s="99">
        <v>1</v>
      </c>
      <c r="F129" s="76">
        <f t="shared" si="7"/>
        <v>0</v>
      </c>
      <c r="G129" s="261"/>
      <c r="H129" s="2266"/>
      <c r="I129" s="359"/>
    </row>
    <row r="130" spans="1:9" x14ac:dyDescent="0.2">
      <c r="A130" s="2592"/>
      <c r="B130" s="2512"/>
      <c r="C130" s="1374" t="str">
        <f>F!C205</f>
        <v>10 - 29 m.</v>
      </c>
      <c r="D130" s="799">
        <f>F!D205</f>
        <v>0</v>
      </c>
      <c r="E130" s="99">
        <v>2</v>
      </c>
      <c r="F130" s="76">
        <f t="shared" si="7"/>
        <v>0</v>
      </c>
      <c r="G130" s="261"/>
      <c r="H130" s="2266"/>
      <c r="I130" s="359"/>
    </row>
    <row r="131" spans="1:9" x14ac:dyDescent="0.2">
      <c r="A131" s="2592"/>
      <c r="B131" s="2512"/>
      <c r="C131" s="1374" t="str">
        <f>F!C206</f>
        <v>30 - 49 m.</v>
      </c>
      <c r="D131" s="799">
        <f>F!D206</f>
        <v>0</v>
      </c>
      <c r="E131" s="99">
        <v>3</v>
      </c>
      <c r="F131" s="76">
        <f t="shared" si="7"/>
        <v>0</v>
      </c>
      <c r="G131" s="261"/>
      <c r="H131" s="2266"/>
      <c r="I131" s="359"/>
    </row>
    <row r="132" spans="1:9" x14ac:dyDescent="0.2">
      <c r="A132" s="2592"/>
      <c r="B132" s="2512"/>
      <c r="C132" s="1374" t="str">
        <f>F!C207</f>
        <v>50 - 100 m.</v>
      </c>
      <c r="D132" s="799">
        <f>F!D207</f>
        <v>0</v>
      </c>
      <c r="E132" s="99">
        <v>4</v>
      </c>
      <c r="F132" s="76">
        <f t="shared" si="7"/>
        <v>0</v>
      </c>
      <c r="G132" s="264"/>
      <c r="H132" s="2266"/>
      <c r="I132" s="359"/>
    </row>
    <row r="133" spans="1:9" ht="17.25" thickBot="1" x14ac:dyDescent="0.25">
      <c r="A133" s="2593"/>
      <c r="B133" s="2556"/>
      <c r="C133" s="1382" t="str">
        <f>F!C208</f>
        <v>&gt; 100 m, or open water is absent at that time.</v>
      </c>
      <c r="D133" s="798">
        <f>F!D208</f>
        <v>0</v>
      </c>
      <c r="E133" s="186">
        <v>6</v>
      </c>
      <c r="F133" s="77">
        <f t="shared" si="7"/>
        <v>0</v>
      </c>
      <c r="G133" s="262"/>
      <c r="H133" s="2267"/>
      <c r="I133" s="335"/>
    </row>
    <row r="134" spans="1:9" ht="26.25" thickBot="1" x14ac:dyDescent="0.25">
      <c r="A134" s="2284" t="str">
        <f>F!A217</f>
        <v>F36</v>
      </c>
      <c r="B134" s="2511"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271" t="s">
        <v>1977</v>
      </c>
      <c r="I134" s="384" t="s">
        <v>1978</v>
      </c>
    </row>
    <row r="135" spans="1:9" ht="25.5" x14ac:dyDescent="0.2">
      <c r="A135" s="2262"/>
      <c r="B135" s="2506"/>
      <c r="C135" s="150" t="str">
        <f>F!C218</f>
        <v>Scattered. More than 30% of such vegetation forms small islands or corridors surrounded by water.</v>
      </c>
      <c r="D135" s="401">
        <f>F!D218</f>
        <v>0</v>
      </c>
      <c r="E135" s="99">
        <v>3</v>
      </c>
      <c r="F135" s="79">
        <f>D135*E135</f>
        <v>0</v>
      </c>
      <c r="G135" s="260"/>
      <c r="H135" s="2266"/>
      <c r="I135" s="359"/>
    </row>
    <row r="136" spans="1:9" x14ac:dyDescent="0.2">
      <c r="A136" s="2262"/>
      <c r="B136" s="2506"/>
      <c r="C136" s="281" t="str">
        <f>F!C219</f>
        <v>Intermediate.</v>
      </c>
      <c r="D136" s="558">
        <f>F!D219</f>
        <v>0</v>
      </c>
      <c r="E136" s="99">
        <v>2</v>
      </c>
      <c r="F136" s="79">
        <f>D136*E136</f>
        <v>0</v>
      </c>
      <c r="G136" s="260"/>
      <c r="H136" s="2266"/>
      <c r="I136" s="359"/>
    </row>
    <row r="137" spans="1:9" ht="26.25" thickBot="1" x14ac:dyDescent="0.25">
      <c r="A137" s="2262"/>
      <c r="B137" s="2509"/>
      <c r="C137" s="151" t="str">
        <f>F!C220</f>
        <v>Clumped. More than 70% of such vegetation is in bands along the wetland perimeter or is clumped at one or a few sides of the surface water area.</v>
      </c>
      <c r="D137" s="557">
        <f>F!D220</f>
        <v>0</v>
      </c>
      <c r="E137" s="172">
        <v>0</v>
      </c>
      <c r="F137" s="79">
        <f>D137*E137</f>
        <v>0</v>
      </c>
      <c r="G137" s="555"/>
      <c r="H137" s="2267"/>
      <c r="I137" s="335"/>
    </row>
    <row r="138" spans="1:9" ht="39" thickBot="1" x14ac:dyDescent="0.25">
      <c r="A138" s="2575" t="str">
        <f>F!A225</f>
        <v>F40</v>
      </c>
      <c r="B138" s="2543"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271" t="s">
        <v>1979</v>
      </c>
      <c r="I138" s="384" t="s">
        <v>1980</v>
      </c>
    </row>
    <row r="139" spans="1:9" x14ac:dyDescent="0.2">
      <c r="A139" s="2377"/>
      <c r="B139" s="2544"/>
      <c r="C139" s="150" t="str">
        <f>F!C226</f>
        <v>Little or none.</v>
      </c>
      <c r="D139" s="401">
        <f>F!D226</f>
        <v>0</v>
      </c>
      <c r="E139" s="76">
        <v>0</v>
      </c>
      <c r="F139" s="76">
        <f>D139*E139</f>
        <v>0</v>
      </c>
      <c r="G139" s="260"/>
      <c r="H139" s="2266"/>
      <c r="I139" s="359"/>
    </row>
    <row r="140" spans="1:9" x14ac:dyDescent="0.2">
      <c r="A140" s="2377"/>
      <c r="B140" s="2544"/>
      <c r="C140" s="281" t="str">
        <f>F!C227</f>
        <v>Intermediate.</v>
      </c>
      <c r="D140" s="558">
        <f>F!D227</f>
        <v>0</v>
      </c>
      <c r="E140" s="76">
        <v>2</v>
      </c>
      <c r="F140" s="76">
        <f>D140*E140</f>
        <v>0</v>
      </c>
      <c r="G140" s="555"/>
      <c r="H140" s="2266"/>
      <c r="I140" s="359"/>
    </row>
    <row r="141" spans="1:9" ht="17.25" thickBot="1" x14ac:dyDescent="0.25">
      <c r="A141" s="2378"/>
      <c r="B141" s="2545"/>
      <c r="C141" s="249" t="str">
        <f>F!C228</f>
        <v>Extensive.</v>
      </c>
      <c r="D141" s="794">
        <f>F!D228</f>
        <v>0</v>
      </c>
      <c r="E141" s="77">
        <v>3</v>
      </c>
      <c r="F141" s="77">
        <f>D141*E141</f>
        <v>0</v>
      </c>
      <c r="G141" s="262"/>
      <c r="H141" s="2267"/>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265" t="str">
        <f>F!A251</f>
        <v>F47</v>
      </c>
      <c r="B143" s="2505" t="str">
        <f>F!B251</f>
        <v>Beaver Probability [SFTS, CC, APP, FA, FR, AM, WBF, WBN, RSB, KMH, PH, Sens]</v>
      </c>
      <c r="C143" s="853" t="str">
        <f>F!C251</f>
        <v>Use of the AA by beaver during the past 5 years is (select most applicable ONE):</v>
      </c>
      <c r="D143" s="801"/>
      <c r="E143" s="80"/>
      <c r="F143" s="80"/>
      <c r="G143" s="120">
        <f>MAX(F143:F146)/MAX(E144:E146)</f>
        <v>0</v>
      </c>
      <c r="H143" s="2271" t="s">
        <v>1982</v>
      </c>
      <c r="I143" s="359" t="s">
        <v>1983</v>
      </c>
    </row>
    <row r="144" spans="1:9" ht="25.5" x14ac:dyDescent="0.2">
      <c r="A144" s="2262"/>
      <c r="B144" s="2506"/>
      <c r="C144" s="281" t="str">
        <f>F!C252</f>
        <v>Evident from direct observation or presence of gnawed limbs, dams, tracks, dens, lodges, or extensive stands of water-killed trees (snags).</v>
      </c>
      <c r="D144" s="558">
        <f>F!D252</f>
        <v>0</v>
      </c>
      <c r="E144" s="76">
        <v>3</v>
      </c>
      <c r="F144" s="76">
        <f>D144*E144</f>
        <v>0</v>
      </c>
      <c r="G144" s="261"/>
      <c r="H144" s="2266"/>
      <c r="I144" s="359"/>
    </row>
    <row r="145" spans="1:9" ht="51" x14ac:dyDescent="0.2">
      <c r="A145" s="2262"/>
      <c r="B145" s="250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266"/>
      <c r="I145" s="359"/>
    </row>
    <row r="146" spans="1:9" ht="26.25" thickBot="1" x14ac:dyDescent="0.25">
      <c r="A146" s="2263"/>
      <c r="B146" s="250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267"/>
      <c r="I146" s="359"/>
    </row>
    <row r="147" spans="1:9" ht="17.25" thickBot="1" x14ac:dyDescent="0.25">
      <c r="A147" s="2262" t="str">
        <f>F!A255</f>
        <v>F48</v>
      </c>
      <c r="B147" s="2508" t="str">
        <f>F!B255</f>
        <v>Groundwater Strength of Evidence [WS, SFTS, PRb, NR, APP, FA, FR, AM]</v>
      </c>
      <c r="C147" s="253" t="str">
        <f>F!C255</f>
        <v>Select first applicable choice:</v>
      </c>
      <c r="D147" s="802"/>
      <c r="E147" s="99"/>
      <c r="F147" s="78"/>
      <c r="G147" s="352">
        <f>MAX(F147:F150)/MAX(E148:E150)</f>
        <v>0</v>
      </c>
      <c r="H147" s="2266" t="s">
        <v>1984</v>
      </c>
      <c r="I147" s="384" t="s">
        <v>1985</v>
      </c>
    </row>
    <row r="148" spans="1:9" ht="67.5" customHeight="1" x14ac:dyDescent="0.2">
      <c r="A148" s="2262"/>
      <c r="B148" s="250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266"/>
      <c r="I148" s="359"/>
    </row>
    <row r="149" spans="1:9" ht="38.25" x14ac:dyDescent="0.2">
      <c r="A149" s="2262"/>
      <c r="B149" s="2506"/>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266"/>
      <c r="I149" s="359"/>
    </row>
    <row r="150" spans="1:9" ht="26.25" thickBot="1" x14ac:dyDescent="0.25">
      <c r="A150" s="2262"/>
      <c r="B150" s="2509"/>
      <c r="C150" s="151" t="str">
        <f>F!C258</f>
        <v>Neither of above is true, although some groundwater may discharge to or flow through the AA. Or groundwater influx is unknown.</v>
      </c>
      <c r="D150" s="557">
        <f>F!D258</f>
        <v>0</v>
      </c>
      <c r="E150" s="95">
        <v>0</v>
      </c>
      <c r="F150" s="79">
        <f>D150*E150</f>
        <v>0</v>
      </c>
      <c r="G150" s="264"/>
      <c r="H150" s="2267"/>
      <c r="I150" s="335"/>
    </row>
    <row r="151" spans="1:9" ht="39" thickBot="1" x14ac:dyDescent="0.25">
      <c r="A151" s="2575" t="str">
        <f>F!A266</f>
        <v>F50</v>
      </c>
      <c r="B151" s="2543"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v>
      </c>
      <c r="H151" s="2271" t="s">
        <v>1986</v>
      </c>
      <c r="I151" s="384" t="s">
        <v>1987</v>
      </c>
    </row>
    <row r="152" spans="1:9" x14ac:dyDescent="0.2">
      <c r="A152" s="2377"/>
      <c r="B152" s="2544"/>
      <c r="C152" s="150" t="str">
        <f>F!C267</f>
        <v>&lt;5%.</v>
      </c>
      <c r="D152" s="401">
        <f>F!D267</f>
        <v>0</v>
      </c>
      <c r="E152" s="26">
        <v>0</v>
      </c>
      <c r="F152" s="76">
        <f>D152*E152</f>
        <v>0</v>
      </c>
      <c r="G152" s="260"/>
      <c r="H152" s="2266"/>
      <c r="I152" s="359"/>
    </row>
    <row r="153" spans="1:9" x14ac:dyDescent="0.2">
      <c r="A153" s="2377"/>
      <c r="B153" s="2544"/>
      <c r="C153" s="281" t="str">
        <f>F!C268</f>
        <v>5 to &lt;30%.</v>
      </c>
      <c r="D153" s="558">
        <f>F!D268</f>
        <v>0</v>
      </c>
      <c r="E153" s="26">
        <v>2</v>
      </c>
      <c r="F153" s="76">
        <f>D153*E153</f>
        <v>0</v>
      </c>
      <c r="G153" s="261"/>
      <c r="H153" s="2266"/>
      <c r="I153" s="359"/>
    </row>
    <row r="154" spans="1:9" x14ac:dyDescent="0.2">
      <c r="A154" s="2377"/>
      <c r="B154" s="2544"/>
      <c r="C154" s="281" t="str">
        <f>F!C269</f>
        <v>30 to &lt;60%.</v>
      </c>
      <c r="D154" s="558">
        <f>F!D269</f>
        <v>0</v>
      </c>
      <c r="E154" s="26">
        <v>3</v>
      </c>
      <c r="F154" s="76">
        <f>D154*E154</f>
        <v>0</v>
      </c>
      <c r="G154" s="261"/>
      <c r="H154" s="2266"/>
      <c r="I154" s="359"/>
    </row>
    <row r="155" spans="1:9" x14ac:dyDescent="0.2">
      <c r="A155" s="2377"/>
      <c r="B155" s="2544"/>
      <c r="C155" s="281" t="str">
        <f>F!C270</f>
        <v>60 to 90%.</v>
      </c>
      <c r="D155" s="558">
        <f>F!D270</f>
        <v>0</v>
      </c>
      <c r="E155" s="26">
        <v>4</v>
      </c>
      <c r="F155" s="76">
        <f>D155*E155</f>
        <v>0</v>
      </c>
      <c r="G155" s="261"/>
      <c r="H155" s="2266"/>
      <c r="I155" s="359"/>
    </row>
    <row r="156" spans="1:9" ht="17.25" thickBot="1" x14ac:dyDescent="0.25">
      <c r="A156" s="2378"/>
      <c r="B156" s="2545"/>
      <c r="C156" s="253" t="str">
        <f>F!C271</f>
        <v>&gt;90%, or all the area within 30 m of the AA edge is other wetlands. SKIP to F53.</v>
      </c>
      <c r="D156" s="480">
        <f>F!D271</f>
        <v>0</v>
      </c>
      <c r="E156" s="67">
        <v>5</v>
      </c>
      <c r="F156" s="77">
        <f>D156*E156</f>
        <v>0</v>
      </c>
      <c r="G156" s="262"/>
      <c r="H156" s="2267"/>
      <c r="I156" s="335"/>
    </row>
    <row r="157" spans="1:9" ht="26.25" thickBot="1" x14ac:dyDescent="0.25">
      <c r="A157" s="2377" t="str">
        <f>F!A308</f>
        <v>F58</v>
      </c>
      <c r="B157" s="2588"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v>
      </c>
      <c r="H157" s="2266" t="s">
        <v>1988</v>
      </c>
      <c r="I157" s="384" t="s">
        <v>1989</v>
      </c>
    </row>
    <row r="158" spans="1:9" x14ac:dyDescent="0.2">
      <c r="A158" s="2377"/>
      <c r="B158" s="2544"/>
      <c r="C158" s="150" t="str">
        <f>F!C309</f>
        <v>&lt;5% and no inhabited building is within 100 m of the AA.</v>
      </c>
      <c r="D158" s="401">
        <f>F!D309</f>
        <v>0</v>
      </c>
      <c r="E158" s="93">
        <v>1</v>
      </c>
      <c r="F158" s="76">
        <f t="shared" ref="F158:F163" si="8">D158*E158</f>
        <v>0</v>
      </c>
      <c r="G158" s="260"/>
      <c r="H158" s="2266"/>
      <c r="I158" s="359"/>
    </row>
    <row r="159" spans="1:9" x14ac:dyDescent="0.2">
      <c r="A159" s="2377"/>
      <c r="B159" s="2544"/>
      <c r="C159" s="281" t="str">
        <f>F!C310</f>
        <v>&lt;5% and inhabited building is within 100 m of the AA.</v>
      </c>
      <c r="D159" s="558">
        <f>F!D310</f>
        <v>0</v>
      </c>
      <c r="E159" s="93">
        <v>0</v>
      </c>
      <c r="F159" s="76">
        <f t="shared" si="8"/>
        <v>0</v>
      </c>
      <c r="G159" s="261"/>
      <c r="H159" s="2266"/>
      <c r="I159" s="359"/>
    </row>
    <row r="160" spans="1:9" x14ac:dyDescent="0.2">
      <c r="A160" s="2377"/>
      <c r="B160" s="2544"/>
      <c r="C160" s="281" t="str">
        <f>F!C311</f>
        <v>5-50% and no inhabited building is within 100 m of the AA.</v>
      </c>
      <c r="D160" s="558">
        <f>F!D311</f>
        <v>0</v>
      </c>
      <c r="E160" s="93">
        <v>3</v>
      </c>
      <c r="F160" s="76">
        <f t="shared" si="8"/>
        <v>0</v>
      </c>
      <c r="G160" s="261"/>
      <c r="H160" s="2266"/>
      <c r="I160" s="359"/>
    </row>
    <row r="161" spans="1:68" x14ac:dyDescent="0.2">
      <c r="A161" s="2377"/>
      <c r="B161" s="2544"/>
      <c r="C161" s="281" t="str">
        <f>F!C312</f>
        <v>5-50% and inhabited building is within 100 m of the AA.</v>
      </c>
      <c r="D161" s="558">
        <f>F!D312</f>
        <v>0</v>
      </c>
      <c r="E161" s="93">
        <v>2</v>
      </c>
      <c r="F161" s="76">
        <f t="shared" si="8"/>
        <v>0</v>
      </c>
      <c r="G161" s="261"/>
      <c r="H161" s="2266"/>
      <c r="I161" s="359"/>
    </row>
    <row r="162" spans="1:68" x14ac:dyDescent="0.2">
      <c r="A162" s="2377"/>
      <c r="B162" s="2544"/>
      <c r="C162" s="281" t="str">
        <f>F!C313</f>
        <v>50-95%, with or without inhabited building nearby.</v>
      </c>
      <c r="D162" s="558">
        <f>F!D313</f>
        <v>0</v>
      </c>
      <c r="E162" s="93">
        <v>4</v>
      </c>
      <c r="F162" s="76">
        <f t="shared" si="8"/>
        <v>0</v>
      </c>
      <c r="G162" s="261"/>
      <c r="H162" s="2266"/>
      <c r="I162" s="359"/>
    </row>
    <row r="163" spans="1:68" ht="17.25" thickBot="1" x14ac:dyDescent="0.25">
      <c r="A163" s="2377"/>
      <c r="B163" s="2589"/>
      <c r="C163" s="151" t="str">
        <f>F!C314</f>
        <v>&gt;95% of the AA with or without inhabited building nearby.</v>
      </c>
      <c r="D163" s="557">
        <f>F!D314</f>
        <v>0</v>
      </c>
      <c r="E163" s="95">
        <v>5</v>
      </c>
      <c r="F163" s="79">
        <f t="shared" si="8"/>
        <v>0</v>
      </c>
      <c r="G163" s="264"/>
      <c r="H163" s="2267"/>
      <c r="I163" s="335"/>
    </row>
    <row r="164" spans="1:68" ht="26.25" thickBot="1" x14ac:dyDescent="0.25">
      <c r="A164" s="2575" t="str">
        <f>F!A316</f>
        <v>F59</v>
      </c>
      <c r="B164" s="2543"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271" t="s">
        <v>1148</v>
      </c>
      <c r="I164" s="384" t="s">
        <v>1990</v>
      </c>
    </row>
    <row r="165" spans="1:68" ht="25.5" x14ac:dyDescent="0.2">
      <c r="A165" s="2377"/>
      <c r="B165" s="2544"/>
      <c r="C165" s="853" t="str">
        <f>F!C317</f>
        <v>&lt;5%. If F58 was answered "&gt;95%" (mostly never visited), SKIP to F62 (Consumptive Uses).</v>
      </c>
      <c r="D165" s="803">
        <f>F!D317</f>
        <v>0</v>
      </c>
      <c r="E165" s="93">
        <v>2</v>
      </c>
      <c r="F165" s="76">
        <f>D165*E165</f>
        <v>0</v>
      </c>
      <c r="G165" s="260"/>
      <c r="H165" s="2266"/>
      <c r="I165" s="359"/>
    </row>
    <row r="166" spans="1:68" x14ac:dyDescent="0.2">
      <c r="A166" s="2377"/>
      <c r="B166" s="2544"/>
      <c r="C166" s="2" t="str">
        <f>F!C318</f>
        <v>5-50%.</v>
      </c>
      <c r="D166" s="479">
        <f>F!D318</f>
        <v>0</v>
      </c>
      <c r="E166" s="93">
        <v>1</v>
      </c>
      <c r="F166" s="76">
        <f>D166*E166</f>
        <v>0</v>
      </c>
      <c r="G166" s="261"/>
      <c r="H166" s="2266"/>
      <c r="I166" s="359"/>
    </row>
    <row r="167" spans="1:68" x14ac:dyDescent="0.2">
      <c r="A167" s="2377"/>
      <c r="B167" s="2544"/>
      <c r="C167" s="281" t="str">
        <f>F!C319</f>
        <v>50-95%.</v>
      </c>
      <c r="D167" s="558">
        <f>F!D319</f>
        <v>0</v>
      </c>
      <c r="E167" s="93">
        <v>0</v>
      </c>
      <c r="F167" s="76">
        <f>D167*E167</f>
        <v>0</v>
      </c>
      <c r="G167" s="261"/>
      <c r="H167" s="2266"/>
      <c r="I167" s="359"/>
    </row>
    <row r="168" spans="1:68" ht="17.25" thickBot="1" x14ac:dyDescent="0.25">
      <c r="A168" s="2378"/>
      <c r="B168" s="2545"/>
      <c r="C168" s="249" t="str">
        <f>F!C320</f>
        <v>&gt;95% of the AA.</v>
      </c>
      <c r="D168" s="794">
        <f>F!D320</f>
        <v>0</v>
      </c>
      <c r="E168" s="97">
        <v>0</v>
      </c>
      <c r="F168" s="77">
        <f>D168*E168</f>
        <v>0</v>
      </c>
      <c r="G168" s="262"/>
      <c r="H168" s="2267"/>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65" t="str">
        <f>F!A337</f>
        <v>F65</v>
      </c>
      <c r="B170" s="2505" t="str">
        <f>F!B337</f>
        <v>pH Measurement [PR, NR, CSP, APP, FA, FR, AM, WBN, Sens]</v>
      </c>
      <c r="C170" s="549" t="str">
        <f>F!C337</f>
        <v>The pH in most of the AA's surface water:</v>
      </c>
      <c r="D170" s="801"/>
      <c r="E170" s="80"/>
      <c r="F170" s="81"/>
      <c r="G170" s="672">
        <f>IF((D173=1),"",IF((D172=1), 0.5, IF((D171=""),"",IF((D171&lt;4),0,IF((D171&gt;9),0,1)))))</f>
        <v>0.5</v>
      </c>
      <c r="H170" s="2271"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62"/>
      <c r="B171" s="2506"/>
      <c r="C171" s="727" t="str">
        <f>F!C338</f>
        <v>Was measured, and is:  [enter the reading in the column to the right.]</v>
      </c>
      <c r="D171" s="1390" t="str">
        <f>IF((F!D338=""),"",F!D338)</f>
        <v/>
      </c>
      <c r="E171" s="76"/>
      <c r="F171" s="76"/>
      <c r="G171" s="260"/>
      <c r="H171" s="2266"/>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62"/>
      <c r="B172" s="2506"/>
      <c r="C172" s="880" t="str">
        <f>F!C339</f>
        <v xml:space="preserve">Was not measured but surface water is present and is darkly tea-coloured.  Or if no surface water, then mosses and plants that indicate peatland (e.g., Labrador tea) are prevalent. Enter "1". </v>
      </c>
      <c r="D172" s="798">
        <f>F!D339</f>
        <v>1</v>
      </c>
      <c r="E172" s="76"/>
      <c r="F172" s="76"/>
      <c r="G172" s="261"/>
      <c r="H172" s="2266"/>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63"/>
      <c r="B173" s="2507"/>
      <c r="C173" s="767" t="str">
        <f>F!C340</f>
        <v>Neither of above. Enter "1".</v>
      </c>
      <c r="D173" s="794">
        <f>F!D340</f>
        <v>0</v>
      </c>
      <c r="E173" s="77"/>
      <c r="F173" s="77"/>
      <c r="G173" s="262"/>
      <c r="H173" s="2267"/>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58" t="str">
        <f>OF!A18</f>
        <v>OF3</v>
      </c>
      <c r="B178" s="250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v>
      </c>
      <c r="H178" s="2271" t="s">
        <v>2000</v>
      </c>
      <c r="I178" s="2572" t="s">
        <v>2001</v>
      </c>
    </row>
    <row r="179" spans="1:9" x14ac:dyDescent="0.2">
      <c r="A179" s="2259"/>
      <c r="B179" s="2506"/>
      <c r="C179" s="281" t="str">
        <f>OF!C19</f>
        <v>&lt;0.01 hectare (about 10 m x 10 m).</v>
      </c>
      <c r="D179" s="558">
        <f>OF!D19</f>
        <v>0</v>
      </c>
      <c r="E179" s="93">
        <v>6</v>
      </c>
      <c r="F179" s="76">
        <f t="shared" ref="F179:F184" si="9">D179*E179</f>
        <v>0</v>
      </c>
      <c r="G179" s="578"/>
      <c r="H179" s="2266"/>
      <c r="I179" s="2573"/>
    </row>
    <row r="180" spans="1:9" x14ac:dyDescent="0.2">
      <c r="A180" s="2259"/>
      <c r="B180" s="2506"/>
      <c r="C180" s="281" t="str">
        <f>OF!C20</f>
        <v>0.01 - 0.1 hectare.</v>
      </c>
      <c r="D180" s="558">
        <f>OF!D20</f>
        <v>0</v>
      </c>
      <c r="E180" s="93">
        <v>5</v>
      </c>
      <c r="F180" s="76">
        <f t="shared" si="9"/>
        <v>0</v>
      </c>
      <c r="G180" s="578"/>
      <c r="H180" s="2266"/>
      <c r="I180" s="2573"/>
    </row>
    <row r="181" spans="1:9" x14ac:dyDescent="0.2">
      <c r="A181" s="2259"/>
      <c r="B181" s="2506"/>
      <c r="C181" s="281" t="str">
        <f>OF!C21</f>
        <v>0.1 - 1 hectare.</v>
      </c>
      <c r="D181" s="558">
        <f>OF!D21</f>
        <v>0</v>
      </c>
      <c r="E181" s="93">
        <v>4</v>
      </c>
      <c r="F181" s="76">
        <f t="shared" si="9"/>
        <v>0</v>
      </c>
      <c r="G181" s="578"/>
      <c r="H181" s="2266"/>
      <c r="I181" s="2573"/>
    </row>
    <row r="182" spans="1:9" x14ac:dyDescent="0.2">
      <c r="A182" s="2259"/>
      <c r="B182" s="2506"/>
      <c r="C182" s="281" t="str">
        <f>OF!C22</f>
        <v>1 to 10 hectares.</v>
      </c>
      <c r="D182" s="558">
        <f>OF!D22</f>
        <v>0</v>
      </c>
      <c r="E182" s="93">
        <v>3</v>
      </c>
      <c r="F182" s="76">
        <f t="shared" si="9"/>
        <v>0</v>
      </c>
      <c r="G182" s="578"/>
      <c r="H182" s="2266"/>
      <c r="I182" s="2573"/>
    </row>
    <row r="183" spans="1:9" x14ac:dyDescent="0.2">
      <c r="A183" s="2259"/>
      <c r="B183" s="2506"/>
      <c r="C183" s="281" t="str">
        <f>OF!C23</f>
        <v>10 to 100 hectares.</v>
      </c>
      <c r="D183" s="558">
        <f>OF!D23</f>
        <v>0</v>
      </c>
      <c r="E183" s="93">
        <v>2</v>
      </c>
      <c r="F183" s="76">
        <f t="shared" si="9"/>
        <v>0</v>
      </c>
      <c r="G183" s="578"/>
      <c r="H183" s="2266"/>
      <c r="I183" s="2573"/>
    </row>
    <row r="184" spans="1:9" ht="17.25" thickBot="1" x14ac:dyDescent="0.25">
      <c r="A184" s="2260"/>
      <c r="B184" s="2507"/>
      <c r="C184" s="249" t="str">
        <f>OF!C24</f>
        <v>&gt;100 hectares.</v>
      </c>
      <c r="D184" s="794">
        <f>OF!D24</f>
        <v>0</v>
      </c>
      <c r="E184" s="97">
        <v>0</v>
      </c>
      <c r="F184" s="77">
        <f t="shared" si="9"/>
        <v>0</v>
      </c>
      <c r="G184" s="579"/>
      <c r="H184" s="2267"/>
      <c r="I184" s="2574"/>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1148</v>
      </c>
      <c r="I186" s="384" t="s">
        <v>2004</v>
      </c>
    </row>
    <row r="187" spans="1:9" ht="51.75" thickBot="1" x14ac:dyDescent="0.25">
      <c r="A187" s="2259" t="str">
        <f>OF!A46</f>
        <v>OF8</v>
      </c>
      <c r="B187" s="2508"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v>
      </c>
      <c r="H187" s="2266" t="s">
        <v>2000</v>
      </c>
      <c r="I187" s="384" t="s">
        <v>2005</v>
      </c>
    </row>
    <row r="188" spans="1:9" x14ac:dyDescent="0.2">
      <c r="A188" s="2259"/>
      <c r="B188" s="2506"/>
      <c r="C188" s="281" t="str">
        <f>OF!C47</f>
        <v xml:space="preserve">&lt;5% of the land. </v>
      </c>
      <c r="D188" s="558">
        <f>OF!D47</f>
        <v>0</v>
      </c>
      <c r="E188" s="93">
        <v>5</v>
      </c>
      <c r="F188" s="76">
        <f>D188*E188</f>
        <v>0</v>
      </c>
      <c r="G188" s="181"/>
      <c r="H188" s="2266"/>
      <c r="I188" s="359"/>
    </row>
    <row r="189" spans="1:9" x14ac:dyDescent="0.2">
      <c r="A189" s="2259"/>
      <c r="B189" s="2506"/>
      <c r="C189" s="281" t="str">
        <f>OF!C48</f>
        <v>5 to 20% of the land.</v>
      </c>
      <c r="D189" s="558">
        <f>OF!D48</f>
        <v>0</v>
      </c>
      <c r="E189" s="93">
        <v>4</v>
      </c>
      <c r="F189" s="76">
        <f>D189*E189</f>
        <v>0</v>
      </c>
      <c r="G189" s="181"/>
      <c r="H189" s="2266"/>
      <c r="I189" s="359"/>
    </row>
    <row r="190" spans="1:9" x14ac:dyDescent="0.2">
      <c r="A190" s="2259"/>
      <c r="B190" s="2506"/>
      <c r="C190" s="281" t="str">
        <f>OF!C49</f>
        <v>20 to 60% of the land.</v>
      </c>
      <c r="D190" s="558">
        <f>OF!D49</f>
        <v>0</v>
      </c>
      <c r="E190" s="93">
        <v>3</v>
      </c>
      <c r="F190" s="76">
        <f>D190*E190</f>
        <v>0</v>
      </c>
      <c r="G190" s="181"/>
      <c r="H190" s="2266"/>
      <c r="I190" s="359"/>
    </row>
    <row r="191" spans="1:9" x14ac:dyDescent="0.2">
      <c r="A191" s="2259"/>
      <c r="B191" s="2506"/>
      <c r="C191" s="281" t="str">
        <f>OF!C50</f>
        <v>60 to 90% of the land.</v>
      </c>
      <c r="D191" s="558">
        <f>OF!D50</f>
        <v>0</v>
      </c>
      <c r="E191" s="93">
        <v>2</v>
      </c>
      <c r="F191" s="76">
        <f>D191*E191</f>
        <v>0</v>
      </c>
      <c r="G191" s="181"/>
      <c r="H191" s="2266"/>
      <c r="I191" s="359"/>
    </row>
    <row r="192" spans="1:9" ht="17.25" thickBot="1" x14ac:dyDescent="0.25">
      <c r="A192" s="2259"/>
      <c r="B192" s="2509"/>
      <c r="C192" s="151" t="str">
        <f>OF!C51</f>
        <v xml:space="preserve">&gt;90% of the land. </v>
      </c>
      <c r="D192" s="557">
        <f>OF!D51</f>
        <v>0</v>
      </c>
      <c r="E192" s="95">
        <v>0</v>
      </c>
      <c r="F192" s="79">
        <f>D192*E192</f>
        <v>0</v>
      </c>
      <c r="G192" s="242"/>
      <c r="H192" s="2266"/>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59" t="str">
        <f>OF!A74</f>
        <v>OF13</v>
      </c>
      <c r="B194" s="2508"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266" t="s">
        <v>2008</v>
      </c>
      <c r="I194" s="359" t="s">
        <v>2009</v>
      </c>
    </row>
    <row r="195" spans="1:10" ht="25.5" x14ac:dyDescent="0.2">
      <c r="A195" s="2259"/>
      <c r="B195" s="250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266"/>
      <c r="I195" s="359"/>
    </row>
    <row r="196" spans="1:10" x14ac:dyDescent="0.2">
      <c r="A196" s="2259"/>
      <c r="B196" s="2506"/>
      <c r="C196" s="281" t="str">
        <f>OF!C76</f>
        <v>&lt;50 m, but completely separated by those features.</v>
      </c>
      <c r="D196" s="558">
        <f>OF!D76</f>
        <v>0</v>
      </c>
      <c r="E196" s="93">
        <v>0</v>
      </c>
      <c r="F196" s="76">
        <f t="shared" si="10"/>
        <v>0</v>
      </c>
      <c r="G196" s="181"/>
      <c r="H196" s="2266"/>
      <c r="I196" s="359"/>
    </row>
    <row r="197" spans="1:10" x14ac:dyDescent="0.2">
      <c r="A197" s="2259"/>
      <c r="B197" s="2506"/>
      <c r="C197" s="281" t="str">
        <f>OF!C77</f>
        <v>50-500 m, and not separated.</v>
      </c>
      <c r="D197" s="558">
        <f>OF!D77</f>
        <v>0</v>
      </c>
      <c r="E197" s="93">
        <v>1</v>
      </c>
      <c r="F197" s="76">
        <f t="shared" si="10"/>
        <v>0</v>
      </c>
      <c r="G197" s="181"/>
      <c r="H197" s="2266"/>
      <c r="I197" s="359"/>
    </row>
    <row r="198" spans="1:10" x14ac:dyDescent="0.2">
      <c r="A198" s="2259"/>
      <c r="B198" s="2506"/>
      <c r="C198" s="281" t="str">
        <f>OF!C78</f>
        <v>50-500 m, but separated by those features.</v>
      </c>
      <c r="D198" s="558">
        <f>OF!D78</f>
        <v>0</v>
      </c>
      <c r="E198" s="93">
        <v>1</v>
      </c>
      <c r="F198" s="76">
        <f t="shared" si="10"/>
        <v>0</v>
      </c>
      <c r="G198" s="181"/>
      <c r="H198" s="2266"/>
      <c r="I198" s="359"/>
    </row>
    <row r="199" spans="1:10" x14ac:dyDescent="0.2">
      <c r="A199" s="2259"/>
      <c r="B199" s="2506"/>
      <c r="C199" s="281" t="str">
        <f>OF!C79</f>
        <v>0.5 - 1 km, and not separated.</v>
      </c>
      <c r="D199" s="558">
        <f>OF!D79</f>
        <v>0</v>
      </c>
      <c r="E199" s="93">
        <v>2</v>
      </c>
      <c r="F199" s="76">
        <f t="shared" si="10"/>
        <v>0</v>
      </c>
      <c r="G199" s="181"/>
      <c r="H199" s="2266"/>
      <c r="I199" s="359"/>
    </row>
    <row r="200" spans="1:10" x14ac:dyDescent="0.2">
      <c r="A200" s="2259"/>
      <c r="B200" s="2506"/>
      <c r="C200" s="281" t="str">
        <f>OF!C80</f>
        <v>0.5 - 1 km, but separated by those features.</v>
      </c>
      <c r="D200" s="558">
        <f>OF!D80</f>
        <v>0</v>
      </c>
      <c r="E200" s="93">
        <v>2</v>
      </c>
      <c r="F200" s="76">
        <f t="shared" si="10"/>
        <v>0</v>
      </c>
      <c r="G200" s="181"/>
      <c r="H200" s="2266"/>
      <c r="I200" s="359"/>
    </row>
    <row r="201" spans="1:10" ht="17.25" thickBot="1" x14ac:dyDescent="0.25">
      <c r="A201" s="2259"/>
      <c r="B201" s="2509"/>
      <c r="C201" s="151" t="str">
        <f>OF!C81</f>
        <v>None of the above (the closest patches or corridors that large are &gt;1 km away).</v>
      </c>
      <c r="D201" s="557">
        <f>OF!D81</f>
        <v>0</v>
      </c>
      <c r="E201" s="95">
        <v>4</v>
      </c>
      <c r="F201" s="79">
        <f t="shared" si="10"/>
        <v>0</v>
      </c>
      <c r="G201" s="242"/>
      <c r="H201" s="2266"/>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98" t="s">
        <v>1053</v>
      </c>
      <c r="D206" s="2515" t="s">
        <v>1830</v>
      </c>
      <c r="E206" s="2516"/>
      <c r="F206" s="2517"/>
      <c r="G206" s="413">
        <f>AVERAGE(Fluctu11, SatPct11,PermWpct11, PondedPct11, Girreg11, GroundW11)</f>
        <v>0</v>
      </c>
      <c r="H206" s="656" t="s">
        <v>2015</v>
      </c>
      <c r="I206" s="673" t="s">
        <v>2016</v>
      </c>
      <c r="J206" s="297" t="s">
        <v>1921</v>
      </c>
    </row>
    <row r="207" spans="1:10" ht="45.75" customHeight="1" x14ac:dyDescent="0.2">
      <c r="C207" s="2399"/>
      <c r="D207" s="2584" t="s">
        <v>2017</v>
      </c>
      <c r="E207" s="2585"/>
      <c r="F207" s="2586"/>
      <c r="G207" s="414">
        <f>IF((AllSat1)&gt;0,"", IF((NoPonded=1),"", AVERAGE(Beaver11, ABpct11,WoodAbove11, Interspers11, Vwidth11)))</f>
        <v>0</v>
      </c>
      <c r="H207" s="658" t="s">
        <v>2018</v>
      </c>
      <c r="I207" s="674" t="s">
        <v>2019</v>
      </c>
      <c r="J207" s="296" t="s">
        <v>2020</v>
      </c>
    </row>
    <row r="208" spans="1:10" ht="39.75" customHeight="1" x14ac:dyDescent="0.2">
      <c r="C208" s="2399"/>
      <c r="D208" s="2584" t="s">
        <v>2021</v>
      </c>
      <c r="E208" s="2585"/>
      <c r="F208" s="2586"/>
      <c r="G208" s="414">
        <f>AVERAGE(WoodDown11, WoodHerbMix11,HerbCover11, Gcover11, WetTypeDiv11, TreeVar11, GrowD11)</f>
        <v>0</v>
      </c>
      <c r="H208" s="658" t="s">
        <v>2022</v>
      </c>
      <c r="I208" s="674" t="s">
        <v>2023</v>
      </c>
      <c r="J208" s="295" t="s">
        <v>2024</v>
      </c>
    </row>
    <row r="209" spans="1:10" x14ac:dyDescent="0.2">
      <c r="C209" s="2399"/>
      <c r="D209" s="2584" t="s">
        <v>1923</v>
      </c>
      <c r="E209" s="2585"/>
      <c r="F209" s="2586"/>
      <c r="G209" s="414" t="e">
        <f>APPscore11</f>
        <v>#VALUE!</v>
      </c>
      <c r="H209" s="658" t="s">
        <v>1924</v>
      </c>
      <c r="I209" s="674" t="s">
        <v>2025</v>
      </c>
      <c r="J209" s="1790" t="s">
        <v>1926</v>
      </c>
    </row>
    <row r="210" spans="1:10" ht="38.25" x14ac:dyDescent="0.2">
      <c r="C210" s="2399"/>
      <c r="D210" s="2584" t="s">
        <v>1838</v>
      </c>
      <c r="E210" s="2585"/>
      <c r="F210" s="2586"/>
      <c r="G210" s="414">
        <f>MAX(RareAm11,AVERAGE(RoadCirc11,AVERAGE(NatVegPct11, NatVegProx11, NatCov2mi11, NatVegSize11)))</f>
        <v>0</v>
      </c>
      <c r="H210" s="658" t="s">
        <v>8555</v>
      </c>
      <c r="I210" s="674" t="s">
        <v>2026</v>
      </c>
      <c r="J210" s="296" t="s">
        <v>8559</v>
      </c>
    </row>
    <row r="211" spans="1:10" x14ac:dyDescent="0.2">
      <c r="C211" s="2399"/>
      <c r="D211" s="2384" t="s">
        <v>2027</v>
      </c>
      <c r="E211" s="2385"/>
      <c r="F211" s="2386"/>
      <c r="G211" s="414">
        <f>PondProx11</f>
        <v>0</v>
      </c>
      <c r="H211" s="658" t="s">
        <v>2028</v>
      </c>
      <c r="I211" s="674" t="s">
        <v>2029</v>
      </c>
      <c r="J211" s="1391" t="s">
        <v>2030</v>
      </c>
    </row>
    <row r="212" spans="1:10" ht="26.25" customHeight="1" thickBot="1" x14ac:dyDescent="0.25">
      <c r="C212" s="2400"/>
      <c r="D212" s="2518" t="s">
        <v>2031</v>
      </c>
      <c r="E212" s="2519"/>
      <c r="F212" s="2520"/>
      <c r="G212" s="415">
        <f>AVERAGE(Fishless11, RdDis11, Acidic11,Toxic11, ToxicIn11,SedIn11,Core1_11,Core2_11,_BMP11)</f>
        <v>0.3125</v>
      </c>
      <c r="H212" s="660" t="s">
        <v>2032</v>
      </c>
      <c r="I212" s="676" t="s">
        <v>2033</v>
      </c>
      <c r="J212" s="295" t="s">
        <v>2034</v>
      </c>
    </row>
    <row r="213" spans="1:10" ht="91.5" customHeight="1" thickBot="1" x14ac:dyDescent="0.25">
      <c r="A213" s="2315"/>
      <c r="B213" s="2316"/>
      <c r="C213" s="382" t="s">
        <v>1722</v>
      </c>
      <c r="D213" s="397"/>
      <c r="E213" s="383"/>
      <c r="F213" s="336" t="s">
        <v>988</v>
      </c>
      <c r="G213" s="1366" t="e">
        <f>10*(IF((AllSat+AllSat1&gt;0), (2*Lscape11 + Waterscape11 + TerrStruc11) /4, AVERAGE(Waterscape11, AVERAGE(Wettype11, Hydro11, AqStruc11, TerrStruc11, Produc11, Stress11))))</f>
        <v>#VALUE!</v>
      </c>
      <c r="H213" s="2288" t="s">
        <v>8558</v>
      </c>
      <c r="I213" s="2289"/>
      <c r="J213" s="297" t="s">
        <v>8556</v>
      </c>
    </row>
    <row r="214" spans="1:10" ht="64.5" thickBot="1" x14ac:dyDescent="0.25">
      <c r="A214" s="2315"/>
      <c r="B214" s="2316"/>
      <c r="C214" s="382" t="s">
        <v>2035</v>
      </c>
      <c r="D214" s="397"/>
      <c r="E214" s="383"/>
      <c r="F214" s="336" t="s">
        <v>991</v>
      </c>
      <c r="G214" s="1367" t="e">
        <f>10*(IF((RareHerp=1),1, AVERAGE(WBFscore10v, RSBscore10v, MAX(HerbUniq,WoodyUniq, RdBox10),AVERAGE(WetArea1k10v,DistPond10,VegPct5k10v))))</f>
        <v>#VALUE!</v>
      </c>
      <c r="H214" s="2288" t="s">
        <v>9149</v>
      </c>
      <c r="I214" s="228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 ref="H55:H59"/>
    <mergeCell ref="H60:H68"/>
    <mergeCell ref="H69:H75"/>
    <mergeCell ref="H82:H84"/>
    <mergeCell ref="H85:H90"/>
    <mergeCell ref="H48:H54"/>
    <mergeCell ref="H3:H10"/>
    <mergeCell ref="H11:H18"/>
    <mergeCell ref="H19:H24"/>
    <mergeCell ref="H25:H31"/>
    <mergeCell ref="H33:H40"/>
    <mergeCell ref="H41:H45"/>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abSelected="1"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69" t="s">
        <v>2097</v>
      </c>
      <c r="B1" s="2570"/>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03" t="str">
        <f>OF!A18</f>
        <v>OF3</v>
      </c>
      <c r="B3" s="2601"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v>
      </c>
      <c r="H3" s="2617" t="s">
        <v>2099</v>
      </c>
      <c r="I3" s="283" t="s">
        <v>2100</v>
      </c>
    </row>
    <row r="4" spans="1:9" ht="13.5" x14ac:dyDescent="0.2">
      <c r="A4" s="2604"/>
      <c r="B4" s="2601"/>
      <c r="C4" s="568" t="str">
        <f>OF!C11</f>
        <v>&lt;0.01 hectare (about 10 m x 10 m).</v>
      </c>
      <c r="D4" s="1415">
        <f>OF!D11</f>
        <v>0</v>
      </c>
      <c r="E4" s="75">
        <v>0</v>
      </c>
      <c r="F4" s="93">
        <f t="shared" ref="F4:F9" si="0">D4*E4</f>
        <v>0</v>
      </c>
      <c r="G4" s="243"/>
      <c r="H4" s="2618"/>
      <c r="I4" s="64"/>
    </row>
    <row r="5" spans="1:9" ht="13.5" x14ac:dyDescent="0.2">
      <c r="A5" s="2604"/>
      <c r="B5" s="2601"/>
      <c r="C5" s="569" t="str">
        <f>OF!C12</f>
        <v>0.01 - 0.1 hectare.</v>
      </c>
      <c r="D5" s="1416">
        <f>OF!D12</f>
        <v>0</v>
      </c>
      <c r="E5" s="75">
        <v>2</v>
      </c>
      <c r="F5" s="93">
        <f t="shared" si="0"/>
        <v>0</v>
      </c>
      <c r="G5" s="243"/>
      <c r="H5" s="2618"/>
      <c r="I5" s="64"/>
    </row>
    <row r="6" spans="1:9" ht="13.5" x14ac:dyDescent="0.2">
      <c r="A6" s="2604"/>
      <c r="B6" s="2601"/>
      <c r="C6" s="569" t="str">
        <f>OF!C13</f>
        <v>0.1 - 1 hectare.</v>
      </c>
      <c r="D6" s="1416">
        <f>OF!D13</f>
        <v>0</v>
      </c>
      <c r="E6" s="75">
        <v>4</v>
      </c>
      <c r="F6" s="93">
        <f t="shared" si="0"/>
        <v>0</v>
      </c>
      <c r="G6" s="243"/>
      <c r="H6" s="2618"/>
      <c r="I6" s="64"/>
    </row>
    <row r="7" spans="1:9" ht="13.5" x14ac:dyDescent="0.2">
      <c r="A7" s="2604"/>
      <c r="B7" s="2601"/>
      <c r="C7" s="570" t="str">
        <f>OF!C14</f>
        <v>1 to 10 hectares.</v>
      </c>
      <c r="D7" s="1417">
        <f>OF!D14</f>
        <v>0</v>
      </c>
      <c r="E7" s="75">
        <v>5</v>
      </c>
      <c r="F7" s="93">
        <f t="shared" si="0"/>
        <v>0</v>
      </c>
      <c r="G7" s="243"/>
      <c r="H7" s="2618"/>
      <c r="I7" s="64"/>
    </row>
    <row r="8" spans="1:9" ht="13.5" x14ac:dyDescent="0.2">
      <c r="A8" s="2604"/>
      <c r="B8" s="2601"/>
      <c r="C8" s="570" t="str">
        <f>OF!C15</f>
        <v>10 to 100 hectares.</v>
      </c>
      <c r="D8" s="1417">
        <f>OF!D15</f>
        <v>0</v>
      </c>
      <c r="E8" s="76">
        <v>6</v>
      </c>
      <c r="F8" s="93">
        <f t="shared" si="0"/>
        <v>0</v>
      </c>
      <c r="G8" s="243"/>
      <c r="H8" s="2618"/>
      <c r="I8" s="64"/>
    </row>
    <row r="9" spans="1:9" ht="14.25" thickBot="1" x14ac:dyDescent="0.25">
      <c r="A9" s="2604"/>
      <c r="B9" s="2602"/>
      <c r="C9" s="1411" t="str">
        <f>OF!C16</f>
        <v>&gt;100 hectares.</v>
      </c>
      <c r="D9" s="1418">
        <f>OF!D16</f>
        <v>0</v>
      </c>
      <c r="E9" s="89">
        <v>8</v>
      </c>
      <c r="F9" s="95">
        <f t="shared" si="0"/>
        <v>0</v>
      </c>
      <c r="G9" s="1412"/>
      <c r="H9" s="2619"/>
      <c r="I9" s="282"/>
    </row>
    <row r="10" spans="1:9" ht="26.25" thickBot="1" x14ac:dyDescent="0.25">
      <c r="A10" s="2598" t="str">
        <f>OF!A74</f>
        <v>OF13</v>
      </c>
      <c r="B10" s="2543"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271" t="s">
        <v>2101</v>
      </c>
      <c r="I10" s="283" t="s">
        <v>2102</v>
      </c>
    </row>
    <row r="11" spans="1:9" ht="25.5" x14ac:dyDescent="0.2">
      <c r="A11" s="2571"/>
      <c r="B11" s="2544"/>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66"/>
      <c r="I11" s="64"/>
    </row>
    <row r="12" spans="1:9" x14ac:dyDescent="0.2">
      <c r="A12" s="2571"/>
      <c r="B12" s="2544"/>
      <c r="C12" s="150" t="str">
        <f>OF!C76</f>
        <v>&lt;50 m, but completely separated by those features.</v>
      </c>
      <c r="D12" s="398">
        <f>OF!D76</f>
        <v>0</v>
      </c>
      <c r="E12" s="76">
        <v>5</v>
      </c>
      <c r="F12" s="93">
        <f t="shared" si="1"/>
        <v>0</v>
      </c>
      <c r="G12" s="192"/>
      <c r="H12" s="2266"/>
      <c r="I12" s="64"/>
    </row>
    <row r="13" spans="1:9" x14ac:dyDescent="0.2">
      <c r="A13" s="2571"/>
      <c r="B13" s="2544"/>
      <c r="C13" s="150" t="str">
        <f>OF!C77</f>
        <v>50-500 m, and not separated.</v>
      </c>
      <c r="D13" s="398">
        <f>OF!D77</f>
        <v>0</v>
      </c>
      <c r="E13" s="76">
        <v>4</v>
      </c>
      <c r="F13" s="93">
        <f t="shared" si="1"/>
        <v>0</v>
      </c>
      <c r="G13" s="192"/>
      <c r="H13" s="2266"/>
      <c r="I13" s="64"/>
    </row>
    <row r="14" spans="1:9" x14ac:dyDescent="0.2">
      <c r="A14" s="2571"/>
      <c r="B14" s="2544"/>
      <c r="C14" s="150" t="str">
        <f>OF!C78</f>
        <v>50-500 m, but separated by those features.</v>
      </c>
      <c r="D14" s="398">
        <f>OF!D78</f>
        <v>0</v>
      </c>
      <c r="E14" s="76">
        <v>3</v>
      </c>
      <c r="F14" s="93">
        <f t="shared" si="1"/>
        <v>0</v>
      </c>
      <c r="G14" s="192"/>
      <c r="H14" s="2266"/>
      <c r="I14" s="64"/>
    </row>
    <row r="15" spans="1:9" x14ac:dyDescent="0.2">
      <c r="A15" s="2571"/>
      <c r="B15" s="2544"/>
      <c r="C15" s="150" t="str">
        <f>OF!C79</f>
        <v>0.5 - 1 km, and not separated.</v>
      </c>
      <c r="D15" s="398">
        <f>OF!D79</f>
        <v>0</v>
      </c>
      <c r="E15" s="76">
        <v>2</v>
      </c>
      <c r="F15" s="93">
        <f t="shared" si="1"/>
        <v>0</v>
      </c>
      <c r="G15" s="192"/>
      <c r="H15" s="2266"/>
      <c r="I15" s="64"/>
    </row>
    <row r="16" spans="1:9" x14ac:dyDescent="0.2">
      <c r="A16" s="2571"/>
      <c r="B16" s="2544"/>
      <c r="C16" s="150" t="str">
        <f>OF!C80</f>
        <v>0.5 - 1 km, but separated by those features.</v>
      </c>
      <c r="D16" s="398">
        <f>OF!D80</f>
        <v>0</v>
      </c>
      <c r="E16" s="76">
        <v>1</v>
      </c>
      <c r="F16" s="93">
        <f t="shared" si="1"/>
        <v>0</v>
      </c>
      <c r="G16" s="192"/>
      <c r="H16" s="2266"/>
      <c r="I16" s="64"/>
    </row>
    <row r="17" spans="1:9" ht="13.5" thickBot="1" x14ac:dyDescent="0.25">
      <c r="A17" s="2599"/>
      <c r="B17" s="2545"/>
      <c r="C17" s="253" t="str">
        <f>OF!C81</f>
        <v>None of the above (the closest patches or corridors that large are &gt;1 km away).</v>
      </c>
      <c r="D17" s="403">
        <f>OF!D81</f>
        <v>0</v>
      </c>
      <c r="E17" s="77">
        <v>0</v>
      </c>
      <c r="F17" s="97">
        <f t="shared" si="1"/>
        <v>0</v>
      </c>
      <c r="G17" s="193"/>
      <c r="H17" s="2267"/>
      <c r="I17" s="282"/>
    </row>
    <row r="18" spans="1:9" ht="26.25" thickBot="1" x14ac:dyDescent="0.25">
      <c r="A18" s="2596" t="str">
        <f>OF!A82</f>
        <v>OF14</v>
      </c>
      <c r="B18" s="2588"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271" t="s">
        <v>2103</v>
      </c>
      <c r="I18" s="283" t="s">
        <v>2104</v>
      </c>
    </row>
    <row r="19" spans="1:9" x14ac:dyDescent="0.2">
      <c r="A19" s="2597"/>
      <c r="B19" s="2544"/>
      <c r="C19" s="150" t="str">
        <f>OF!C83</f>
        <v>&lt;100 m.</v>
      </c>
      <c r="D19" s="398">
        <f>OF!D83</f>
        <v>0</v>
      </c>
      <c r="E19" s="76">
        <v>5</v>
      </c>
      <c r="F19" s="93">
        <f t="shared" ref="F19:F24" si="2">D19*E19</f>
        <v>0</v>
      </c>
      <c r="G19" s="191"/>
      <c r="H19" s="2266"/>
      <c r="I19" s="64"/>
    </row>
    <row r="20" spans="1:9" x14ac:dyDescent="0.2">
      <c r="A20" s="2597"/>
      <c r="B20" s="2544"/>
      <c r="C20" s="150" t="str">
        <f>OF!C84</f>
        <v>100 m - 1 km.</v>
      </c>
      <c r="D20" s="398">
        <f>OF!D84</f>
        <v>0</v>
      </c>
      <c r="E20" s="76">
        <v>4</v>
      </c>
      <c r="F20" s="93">
        <f t="shared" si="2"/>
        <v>0</v>
      </c>
      <c r="G20" s="192"/>
      <c r="H20" s="2266"/>
      <c r="I20" s="64"/>
    </row>
    <row r="21" spans="1:9" x14ac:dyDescent="0.2">
      <c r="A21" s="2597"/>
      <c r="B21" s="2544"/>
      <c r="C21" s="150" t="str">
        <f>OF!C85</f>
        <v>1 -2 km.</v>
      </c>
      <c r="D21" s="398">
        <f>OF!D85</f>
        <v>0</v>
      </c>
      <c r="E21" s="76">
        <v>3</v>
      </c>
      <c r="F21" s="93">
        <f t="shared" si="2"/>
        <v>0</v>
      </c>
      <c r="G21" s="211"/>
      <c r="H21" s="2266"/>
      <c r="I21" s="64"/>
    </row>
    <row r="22" spans="1:9" x14ac:dyDescent="0.2">
      <c r="A22" s="2597"/>
      <c r="B22" s="2544"/>
      <c r="C22" s="150" t="str">
        <f>OF!C86</f>
        <v>2-5 km.</v>
      </c>
      <c r="D22" s="398">
        <f>OF!D86</f>
        <v>0</v>
      </c>
      <c r="E22" s="79">
        <v>2</v>
      </c>
      <c r="F22" s="95">
        <f t="shared" si="2"/>
        <v>0</v>
      </c>
      <c r="G22" s="211"/>
      <c r="H22" s="2266"/>
      <c r="I22" s="64"/>
    </row>
    <row r="23" spans="1:9" x14ac:dyDescent="0.2">
      <c r="A23" s="2597"/>
      <c r="B23" s="2544"/>
      <c r="C23" s="150" t="str">
        <f>OF!C87</f>
        <v>5-10 km.</v>
      </c>
      <c r="D23" s="398">
        <f>OF!D87</f>
        <v>0</v>
      </c>
      <c r="E23" s="79">
        <v>1</v>
      </c>
      <c r="F23" s="93">
        <f t="shared" si="2"/>
        <v>0</v>
      </c>
      <c r="G23" s="211"/>
      <c r="H23" s="2266"/>
      <c r="I23" s="64"/>
    </row>
    <row r="24" spans="1:9" ht="13.5" thickBot="1" x14ac:dyDescent="0.25">
      <c r="A24" s="2597"/>
      <c r="B24" s="2589"/>
      <c r="C24" s="2" t="str">
        <f>OF!C88</f>
        <v>&gt;10 km.</v>
      </c>
      <c r="D24" s="402">
        <f>OF!D88</f>
        <v>0</v>
      </c>
      <c r="E24" s="79">
        <v>0</v>
      </c>
      <c r="F24" s="95">
        <f t="shared" si="2"/>
        <v>0</v>
      </c>
      <c r="G24" s="211"/>
      <c r="H24" s="2266"/>
      <c r="I24" s="282"/>
    </row>
    <row r="25" spans="1:9" ht="13.5" thickBot="1" x14ac:dyDescent="0.25">
      <c r="A25" s="2598" t="str">
        <f>OF!A89</f>
        <v>OF15</v>
      </c>
      <c r="B25" s="2543" t="str">
        <f>OF!B89</f>
        <v>Tidal Proximity [APP, FA, WBF, CRI]</v>
      </c>
      <c r="C25" s="63" t="str">
        <f>OF!C89</f>
        <v>The distance from the AA edge to the closest tidal water body (regardless of its salinity) is:</v>
      </c>
      <c r="D25" s="574"/>
      <c r="E25" s="80"/>
      <c r="F25" s="91"/>
      <c r="G25" s="165">
        <f>IF((D31=1),"",(MAX(F26:F31)/MAX(E26:E31)))</f>
        <v>0</v>
      </c>
      <c r="H25" s="2271" t="s">
        <v>2105</v>
      </c>
      <c r="I25" s="283" t="s">
        <v>2106</v>
      </c>
    </row>
    <row r="26" spans="1:9" x14ac:dyDescent="0.2">
      <c r="A26" s="2571"/>
      <c r="B26" s="2544"/>
      <c r="C26" s="150" t="str">
        <f>OF!C90</f>
        <v>&lt;100 m.</v>
      </c>
      <c r="D26" s="398">
        <f>OF!D90</f>
        <v>0</v>
      </c>
      <c r="E26" s="76">
        <v>9</v>
      </c>
      <c r="F26" s="93">
        <f t="shared" ref="F26:F31" si="3">D26*E26</f>
        <v>0</v>
      </c>
      <c r="G26" s="191"/>
      <c r="H26" s="2266"/>
      <c r="I26" s="64"/>
    </row>
    <row r="27" spans="1:9" x14ac:dyDescent="0.2">
      <c r="A27" s="2571"/>
      <c r="B27" s="2544"/>
      <c r="C27" s="150" t="str">
        <f>OF!C91</f>
        <v>100 m - 1 km.</v>
      </c>
      <c r="D27" s="398">
        <f>OF!D91</f>
        <v>0</v>
      </c>
      <c r="E27" s="76">
        <v>7</v>
      </c>
      <c r="F27" s="93">
        <f t="shared" si="3"/>
        <v>0</v>
      </c>
      <c r="G27" s="192"/>
      <c r="H27" s="2266"/>
      <c r="I27" s="64"/>
    </row>
    <row r="28" spans="1:9" x14ac:dyDescent="0.2">
      <c r="A28" s="2571"/>
      <c r="B28" s="2544"/>
      <c r="C28" s="150" t="str">
        <f>OF!C92</f>
        <v>1 - 5 km.</v>
      </c>
      <c r="D28" s="398">
        <f>OF!D92</f>
        <v>0</v>
      </c>
      <c r="E28" s="76">
        <v>6</v>
      </c>
      <c r="F28" s="93">
        <f t="shared" si="3"/>
        <v>0</v>
      </c>
      <c r="G28" s="192"/>
      <c r="H28" s="2266"/>
      <c r="I28" s="64"/>
    </row>
    <row r="29" spans="1:9" x14ac:dyDescent="0.2">
      <c r="A29" s="2571"/>
      <c r="B29" s="2544"/>
      <c r="C29" s="150" t="str">
        <f>OF!C93</f>
        <v>5-10 km.</v>
      </c>
      <c r="D29" s="398">
        <f>OF!D93</f>
        <v>0</v>
      </c>
      <c r="E29" s="76">
        <v>4</v>
      </c>
      <c r="F29" s="93">
        <f t="shared" si="3"/>
        <v>0</v>
      </c>
      <c r="G29" s="192"/>
      <c r="H29" s="2266"/>
      <c r="I29" s="64"/>
    </row>
    <row r="30" spans="1:9" x14ac:dyDescent="0.2">
      <c r="A30" s="2571"/>
      <c r="B30" s="2544"/>
      <c r="C30" s="150" t="str">
        <f>OF!C94</f>
        <v>10-40 km.</v>
      </c>
      <c r="D30" s="398">
        <f>OF!D94</f>
        <v>0</v>
      </c>
      <c r="E30" s="79">
        <v>2</v>
      </c>
      <c r="F30" s="95">
        <f t="shared" si="3"/>
        <v>0</v>
      </c>
      <c r="G30" s="211"/>
      <c r="H30" s="2266"/>
      <c r="I30" s="64"/>
    </row>
    <row r="31" spans="1:9" ht="13.5" thickBot="1" x14ac:dyDescent="0.25">
      <c r="A31" s="2599"/>
      <c r="B31" s="2545"/>
      <c r="C31" s="253" t="str">
        <f>OF!C95</f>
        <v>&gt;40 km.</v>
      </c>
      <c r="D31" s="403">
        <f>OF!D95</f>
        <v>0</v>
      </c>
      <c r="E31" s="77">
        <v>0</v>
      </c>
      <c r="F31" s="97">
        <f t="shared" si="3"/>
        <v>0</v>
      </c>
      <c r="G31" s="193"/>
      <c r="H31" s="2267"/>
      <c r="I31" s="282"/>
    </row>
    <row r="32" spans="1:9" ht="39" thickBot="1" x14ac:dyDescent="0.25">
      <c r="A32" s="2277" t="str">
        <f>OF!A111</f>
        <v>OF20</v>
      </c>
      <c r="B32" s="2508"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v>
      </c>
      <c r="H32" s="2266" t="s">
        <v>2107</v>
      </c>
      <c r="I32" s="283" t="s">
        <v>2108</v>
      </c>
    </row>
    <row r="33" spans="1:9" x14ac:dyDescent="0.2">
      <c r="A33" s="2277"/>
      <c r="B33" s="2506"/>
      <c r="C33" s="2" t="str">
        <f>OF!C112</f>
        <v>The condition is present within the AA.</v>
      </c>
      <c r="D33" s="402">
        <f>OF!D112</f>
        <v>0</v>
      </c>
      <c r="E33" s="93"/>
      <c r="F33" s="93"/>
      <c r="G33" s="191"/>
      <c r="H33" s="2266"/>
      <c r="I33" s="64"/>
    </row>
    <row r="34" spans="1:9" ht="25.5" x14ac:dyDescent="0.2">
      <c r="A34" s="2277"/>
      <c r="B34" s="2506"/>
      <c r="C34" s="151" t="str">
        <f>OF!C113</f>
        <v>The condition is present in waters within 1 km that flow into the AA, but has not been documented in the AA itself.</v>
      </c>
      <c r="D34" s="411">
        <f>OF!D113</f>
        <v>0</v>
      </c>
      <c r="E34" s="93"/>
      <c r="F34" s="93"/>
      <c r="G34" s="192"/>
      <c r="H34" s="2266"/>
      <c r="I34" s="64"/>
    </row>
    <row r="35" spans="1:9" ht="25.5" x14ac:dyDescent="0.2">
      <c r="A35" s="2277"/>
      <c r="B35" s="2506"/>
      <c r="C35" s="151" t="str">
        <f>OF!C114</f>
        <v>Sampling during both low water periods and times with high runoff (storms, snowmelt) indicates no problems in either the AA or inflowing waters.</v>
      </c>
      <c r="D35" s="411">
        <f>OF!D114</f>
        <v>0</v>
      </c>
      <c r="E35" s="93"/>
      <c r="F35" s="93"/>
      <c r="G35" s="192"/>
      <c r="H35" s="2266"/>
      <c r="I35" s="64"/>
    </row>
    <row r="36" spans="1:9" ht="26.25" thickBot="1" x14ac:dyDescent="0.25">
      <c r="A36" s="2277"/>
      <c r="B36" s="2509"/>
      <c r="C36" s="151" t="str">
        <f>OF!C115</f>
        <v>Data are insufficient (no or inadequate sampling within 1 km, or condition exists only at &gt;1 km upstream). This is the situation for nearly all wetlands in this region.</v>
      </c>
      <c r="D36" s="411">
        <f>OF!D115</f>
        <v>0</v>
      </c>
      <c r="E36" s="95"/>
      <c r="F36" s="95"/>
      <c r="G36" s="211"/>
      <c r="H36" s="2266"/>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62" t="str">
        <f>F!A5</f>
        <v>F1</v>
      </c>
      <c r="B39" s="2508"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266" t="s">
        <v>8931</v>
      </c>
      <c r="I39" s="64" t="s">
        <v>2110</v>
      </c>
    </row>
    <row r="40" spans="1:9" ht="63.75" x14ac:dyDescent="0.2">
      <c r="A40" s="2262"/>
      <c r="B40" s="250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266"/>
      <c r="I40" s="64"/>
    </row>
    <row r="41" spans="1:9" ht="76.5" x14ac:dyDescent="0.2">
      <c r="A41" s="2262"/>
      <c r="B41" s="250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266"/>
      <c r="I41" s="64"/>
    </row>
    <row r="42" spans="1:9" ht="51" x14ac:dyDescent="0.2">
      <c r="A42" s="2262"/>
      <c r="B42" s="250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266"/>
      <c r="I42" s="64"/>
    </row>
    <row r="43" spans="1:9" ht="38.25" x14ac:dyDescent="0.2">
      <c r="A43" s="2262"/>
      <c r="B43" s="250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266"/>
      <c r="I43" s="64"/>
    </row>
    <row r="44" spans="1:9" ht="38.25" x14ac:dyDescent="0.2">
      <c r="A44" s="2262"/>
      <c r="B44" s="250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266"/>
      <c r="I44" s="64"/>
    </row>
    <row r="45" spans="1:9" ht="51.75" thickBot="1" x14ac:dyDescent="0.25">
      <c r="A45" s="2262"/>
      <c r="B45" s="2509"/>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266"/>
      <c r="I45" s="282"/>
    </row>
    <row r="46" spans="1:9" ht="51.75" thickBot="1" x14ac:dyDescent="0.25">
      <c r="A46" s="2265" t="str">
        <f>F!A13</f>
        <v>F2</v>
      </c>
      <c r="B46" s="250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v>
      </c>
      <c r="H46" s="2271" t="s">
        <v>8651</v>
      </c>
      <c r="I46" s="283" t="s">
        <v>2111</v>
      </c>
    </row>
    <row r="47" spans="1:9" x14ac:dyDescent="0.2">
      <c r="A47" s="2262"/>
      <c r="B47" s="2506"/>
      <c r="C47" s="727" t="str">
        <f>F!C14</f>
        <v>A1.</v>
      </c>
      <c r="D47" s="398">
        <f>F!D14</f>
        <v>0</v>
      </c>
      <c r="E47" s="93"/>
      <c r="F47" s="93"/>
      <c r="G47" s="261"/>
      <c r="H47" s="2266"/>
      <c r="I47" s="64"/>
    </row>
    <row r="48" spans="1:9" x14ac:dyDescent="0.2">
      <c r="A48" s="2262"/>
      <c r="B48" s="2506"/>
      <c r="C48" s="766" t="str">
        <f>F!C15</f>
        <v>A2.</v>
      </c>
      <c r="D48" s="399">
        <f>F!D15</f>
        <v>0</v>
      </c>
      <c r="E48" s="93"/>
      <c r="F48" s="93"/>
      <c r="G48" s="261"/>
      <c r="H48" s="2266"/>
      <c r="I48" s="64"/>
    </row>
    <row r="49" spans="1:9" x14ac:dyDescent="0.2">
      <c r="A49" s="2262"/>
      <c r="B49" s="2506"/>
      <c r="C49" s="766" t="str">
        <f>F!C16</f>
        <v>B1.</v>
      </c>
      <c r="D49" s="399">
        <f>F!D16</f>
        <v>0</v>
      </c>
      <c r="E49" s="93"/>
      <c r="F49" s="93"/>
      <c r="G49" s="261"/>
      <c r="H49" s="2266"/>
      <c r="I49" s="64"/>
    </row>
    <row r="50" spans="1:9" ht="13.5" thickBot="1" x14ac:dyDescent="0.25">
      <c r="A50" s="2263"/>
      <c r="B50" s="2507"/>
      <c r="C50" s="767" t="str">
        <f>F!C17</f>
        <v>B2.</v>
      </c>
      <c r="D50" s="400">
        <f>F!D17</f>
        <v>0</v>
      </c>
      <c r="E50" s="97"/>
      <c r="F50" s="97"/>
      <c r="G50" s="262"/>
      <c r="H50" s="2267"/>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75" t="str">
        <f>F!A49</f>
        <v>F7</v>
      </c>
      <c r="B52" s="2543"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v>
      </c>
      <c r="H52" s="2271" t="s">
        <v>8932</v>
      </c>
      <c r="I52" s="283" t="s">
        <v>2114</v>
      </c>
    </row>
    <row r="53" spans="1:9" ht="25.5" x14ac:dyDescent="0.2">
      <c r="A53" s="2377"/>
      <c r="B53" s="2544"/>
      <c r="C53" s="150" t="str">
        <f>F!C50</f>
        <v>&lt;5% of the vegetated part of the AA or &lt;0.01 hectare (whichever is less). Mark "1" here and SKIP to F11 (Invasive Plant Cover).</v>
      </c>
      <c r="D53" s="401">
        <f>F!D50</f>
        <v>0</v>
      </c>
      <c r="E53" s="76">
        <v>0</v>
      </c>
      <c r="F53" s="93">
        <f>D53*E53</f>
        <v>0</v>
      </c>
      <c r="G53" s="191"/>
      <c r="H53" s="2266"/>
      <c r="I53" s="64"/>
    </row>
    <row r="54" spans="1:9" x14ac:dyDescent="0.2">
      <c r="A54" s="2377"/>
      <c r="B54" s="2544"/>
      <c r="C54" s="281" t="str">
        <f>F!C51</f>
        <v>5-25% of the vegetated part of the AA.</v>
      </c>
      <c r="D54" s="558">
        <f>F!D51</f>
        <v>0</v>
      </c>
      <c r="E54" s="76">
        <v>2</v>
      </c>
      <c r="F54" s="93">
        <f>D54*E54</f>
        <v>0</v>
      </c>
      <c r="G54" s="192"/>
      <c r="H54" s="2266"/>
      <c r="I54" s="64"/>
    </row>
    <row r="55" spans="1:9" x14ac:dyDescent="0.2">
      <c r="A55" s="2377"/>
      <c r="B55" s="2544"/>
      <c r="C55" s="281" t="str">
        <f>F!C52</f>
        <v>25-50% of the vegetated part of the AA.</v>
      </c>
      <c r="D55" s="558">
        <f>F!D52</f>
        <v>0</v>
      </c>
      <c r="E55" s="76">
        <v>3</v>
      </c>
      <c r="F55" s="93">
        <f>D55*E55</f>
        <v>0</v>
      </c>
      <c r="G55" s="192"/>
      <c r="H55" s="2266"/>
      <c r="I55" s="64"/>
    </row>
    <row r="56" spans="1:9" x14ac:dyDescent="0.2">
      <c r="A56" s="2377"/>
      <c r="B56" s="2544"/>
      <c r="C56" s="281" t="str">
        <f>F!C53</f>
        <v>50-95% of the vegetated part of the AA.</v>
      </c>
      <c r="D56" s="558">
        <f>F!D53</f>
        <v>0</v>
      </c>
      <c r="E56" s="76">
        <v>4</v>
      </c>
      <c r="F56" s="93">
        <f>D56*E56</f>
        <v>0</v>
      </c>
      <c r="G56" s="192"/>
      <c r="H56" s="2266"/>
      <c r="I56" s="64"/>
    </row>
    <row r="57" spans="1:9" ht="13.5" thickBot="1" x14ac:dyDescent="0.25">
      <c r="A57" s="2378"/>
      <c r="B57" s="2545"/>
      <c r="C57" s="249" t="str">
        <f>F!C54</f>
        <v>&gt;95% of the vegetated part of the AA.</v>
      </c>
      <c r="D57" s="794">
        <f>F!D54</f>
        <v>0</v>
      </c>
      <c r="E57" s="77">
        <v>5</v>
      </c>
      <c r="F57" s="97">
        <f>D57*E57</f>
        <v>0</v>
      </c>
      <c r="G57" s="193"/>
      <c r="H57" s="2267"/>
      <c r="I57" s="282"/>
    </row>
    <row r="58" spans="1:9" ht="51.75" thickBot="1" x14ac:dyDescent="0.25">
      <c r="A58" s="2262" t="str">
        <f>F!A118</f>
        <v>F19</v>
      </c>
      <c r="B58" s="2508"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v>
      </c>
      <c r="H58" s="2266" t="s">
        <v>8933</v>
      </c>
      <c r="I58" s="283" t="s">
        <v>2115</v>
      </c>
    </row>
    <row r="59" spans="1:9" x14ac:dyDescent="0.2">
      <c r="A59" s="2262"/>
      <c r="B59" s="2506"/>
      <c r="C59" s="766" t="str">
        <f>F!C119</f>
        <v>None, or &lt;100 sq. m.</v>
      </c>
      <c r="D59" s="399">
        <f>F!D119</f>
        <v>0</v>
      </c>
      <c r="E59" s="76">
        <v>0</v>
      </c>
      <c r="F59" s="93">
        <f>D59*E59</f>
        <v>0</v>
      </c>
      <c r="G59" s="191"/>
      <c r="H59" s="2266"/>
      <c r="I59" s="64"/>
    </row>
    <row r="60" spans="1:9" x14ac:dyDescent="0.2">
      <c r="A60" s="2262"/>
      <c r="B60" s="2506"/>
      <c r="C60" s="766" t="str">
        <f>F!C120</f>
        <v>100-1000 sq. m.</v>
      </c>
      <c r="D60" s="399">
        <f>F!D120</f>
        <v>0</v>
      </c>
      <c r="E60" s="76">
        <v>2</v>
      </c>
      <c r="F60" s="93">
        <f>D60*E60</f>
        <v>0</v>
      </c>
      <c r="G60" s="192"/>
      <c r="H60" s="2266"/>
      <c r="I60" s="64"/>
    </row>
    <row r="61" spans="1:9" x14ac:dyDescent="0.2">
      <c r="A61" s="2262"/>
      <c r="B61" s="2506"/>
      <c r="C61" s="766" t="str">
        <f>F!C121</f>
        <v>1000 – 10,000 sq. m.</v>
      </c>
      <c r="D61" s="399">
        <f>F!D121</f>
        <v>0</v>
      </c>
      <c r="E61" s="76">
        <v>3</v>
      </c>
      <c r="F61" s="93">
        <f>D61*E61</f>
        <v>0</v>
      </c>
      <c r="G61" s="192"/>
      <c r="H61" s="2266"/>
      <c r="I61" s="64"/>
    </row>
    <row r="62" spans="1:9" x14ac:dyDescent="0.2">
      <c r="A62" s="2262"/>
      <c r="B62" s="2506"/>
      <c r="C62" s="766" t="str">
        <f>F!C122</f>
        <v>10,000 - 100,000 sq. m</v>
      </c>
      <c r="D62" s="399">
        <f>F!D122</f>
        <v>0</v>
      </c>
      <c r="E62" s="79">
        <v>4</v>
      </c>
      <c r="F62" s="95">
        <f>D62*E62</f>
        <v>0</v>
      </c>
      <c r="G62" s="211"/>
      <c r="H62" s="2266"/>
      <c r="I62" s="64"/>
    </row>
    <row r="63" spans="1:9" ht="13.5" thickBot="1" x14ac:dyDescent="0.25">
      <c r="A63" s="2262"/>
      <c r="B63" s="2509"/>
      <c r="C63" s="1356" t="str">
        <f>F!C123</f>
        <v xml:space="preserve">&gt;100,000 sq. m. </v>
      </c>
      <c r="D63" s="411">
        <f>F!D123</f>
        <v>0</v>
      </c>
      <c r="E63" s="79">
        <v>6</v>
      </c>
      <c r="F63" s="95">
        <f>D63*E63</f>
        <v>0</v>
      </c>
      <c r="G63" s="211"/>
      <c r="H63" s="2266"/>
      <c r="I63" s="282"/>
    </row>
    <row r="64" spans="1:9" ht="64.5" customHeight="1" thickBot="1" x14ac:dyDescent="0.25">
      <c r="A64" s="2265" t="str">
        <f>F!A142</f>
        <v>F23</v>
      </c>
      <c r="B64" s="250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v>
      </c>
      <c r="H64" s="2271" t="s">
        <v>8652</v>
      </c>
      <c r="I64" s="283" t="s">
        <v>2116</v>
      </c>
    </row>
    <row r="65" spans="1:9" x14ac:dyDescent="0.2">
      <c r="A65" s="2262"/>
      <c r="B65" s="2506"/>
      <c r="C65" s="766" t="str">
        <f>F!C143</f>
        <v>None or trace.</v>
      </c>
      <c r="D65" s="399">
        <f>F!D143</f>
        <v>0</v>
      </c>
      <c r="E65" s="88">
        <v>0</v>
      </c>
      <c r="F65" s="93">
        <f>D65*E65</f>
        <v>0</v>
      </c>
      <c r="G65" s="192"/>
      <c r="H65" s="2266"/>
      <c r="I65" s="64"/>
    </row>
    <row r="66" spans="1:9" x14ac:dyDescent="0.2">
      <c r="A66" s="2262"/>
      <c r="B66" s="2506"/>
      <c r="C66" s="766" t="str">
        <f>F!C144</f>
        <v>1-20% of the AA.</v>
      </c>
      <c r="D66" s="399">
        <f>F!D144</f>
        <v>0</v>
      </c>
      <c r="E66" s="86">
        <v>1</v>
      </c>
      <c r="F66" s="93">
        <f>D66*E66</f>
        <v>0</v>
      </c>
      <c r="G66" s="192"/>
      <c r="H66" s="2266"/>
      <c r="I66" s="64"/>
    </row>
    <row r="67" spans="1:9" x14ac:dyDescent="0.2">
      <c r="A67" s="2262"/>
      <c r="B67" s="2506"/>
      <c r="C67" s="766" t="str">
        <f>F!C145</f>
        <v>20-50% of the AA.</v>
      </c>
      <c r="D67" s="399">
        <f>F!D145</f>
        <v>0</v>
      </c>
      <c r="E67" s="86">
        <v>2</v>
      </c>
      <c r="F67" s="93">
        <f>D67*E67</f>
        <v>0</v>
      </c>
      <c r="G67" s="192"/>
      <c r="H67" s="2266"/>
      <c r="I67" s="64"/>
    </row>
    <row r="68" spans="1:9" x14ac:dyDescent="0.2">
      <c r="A68" s="2262"/>
      <c r="B68" s="2506"/>
      <c r="C68" s="766" t="str">
        <f>F!C146</f>
        <v>50-95% of the AA.</v>
      </c>
      <c r="D68" s="399">
        <f>F!D146</f>
        <v>0</v>
      </c>
      <c r="E68" s="86">
        <v>3</v>
      </c>
      <c r="F68" s="93">
        <f>D68*E68</f>
        <v>0</v>
      </c>
      <c r="G68" s="192"/>
      <c r="H68" s="2266"/>
      <c r="I68" s="64"/>
    </row>
    <row r="69" spans="1:9" ht="13.5" thickBot="1" x14ac:dyDescent="0.25">
      <c r="A69" s="2263"/>
      <c r="B69" s="2507"/>
      <c r="C69" s="767" t="str">
        <f>F!C147</f>
        <v>&gt;95% of the AA. True for many fringe wetlands.</v>
      </c>
      <c r="D69" s="400">
        <f>F!D147</f>
        <v>0</v>
      </c>
      <c r="E69" s="87">
        <v>2</v>
      </c>
      <c r="F69" s="97">
        <f>D69*E69</f>
        <v>0</v>
      </c>
      <c r="G69" s="193"/>
      <c r="H69" s="2267"/>
      <c r="I69" s="282"/>
    </row>
    <row r="70" spans="1:9" ht="26.25" thickBot="1" x14ac:dyDescent="0.25">
      <c r="A70" s="2262" t="str">
        <f>F!A149</f>
        <v>F24</v>
      </c>
      <c r="B70" s="2508"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266" t="s">
        <v>2117</v>
      </c>
      <c r="I70" s="283" t="s">
        <v>2118</v>
      </c>
    </row>
    <row r="71" spans="1:9" ht="25.5" x14ac:dyDescent="0.2">
      <c r="A71" s="2262"/>
      <c r="B71" s="2506"/>
      <c r="C71" s="766" t="str">
        <f>F!C150</f>
        <v xml:space="preserve">&lt;1% . In other words, all or nearly all of the AA is covered by water permanently or at least seasonally.  </v>
      </c>
      <c r="D71" s="399">
        <f>F!D150</f>
        <v>0</v>
      </c>
      <c r="E71" s="76">
        <v>5</v>
      </c>
      <c r="F71" s="93">
        <f t="shared" ref="F71:F76" si="4">D71*E71</f>
        <v>0</v>
      </c>
      <c r="G71" s="191"/>
      <c r="H71" s="2266"/>
      <c r="I71" s="64"/>
    </row>
    <row r="72" spans="1:9" x14ac:dyDescent="0.2">
      <c r="A72" s="2262"/>
      <c r="B72" s="2506"/>
      <c r="C72" s="766" t="str">
        <f>F!C151</f>
        <v>1-25% of the AA,  or &lt;1% but &gt;0.01 ha never contains surface water.</v>
      </c>
      <c r="D72" s="399">
        <f>F!D151</f>
        <v>0</v>
      </c>
      <c r="E72" s="76">
        <v>6</v>
      </c>
      <c r="F72" s="93">
        <f t="shared" si="4"/>
        <v>0</v>
      </c>
      <c r="G72" s="191"/>
      <c r="H72" s="2266"/>
      <c r="I72" s="64"/>
    </row>
    <row r="73" spans="1:9" x14ac:dyDescent="0.2">
      <c r="A73" s="2262"/>
      <c r="B73" s="2506"/>
      <c r="C73" s="766" t="str">
        <f>F!C152</f>
        <v>25-50% of the AA never contains surface water.</v>
      </c>
      <c r="D73" s="399">
        <f>F!D152</f>
        <v>0</v>
      </c>
      <c r="E73" s="76">
        <v>4</v>
      </c>
      <c r="F73" s="93">
        <f t="shared" si="4"/>
        <v>0</v>
      </c>
      <c r="G73" s="191"/>
      <c r="H73" s="2266"/>
      <c r="I73" s="64"/>
    </row>
    <row r="74" spans="1:9" x14ac:dyDescent="0.2">
      <c r="A74" s="2262"/>
      <c r="B74" s="2506"/>
      <c r="C74" s="766" t="str">
        <f>F!C153</f>
        <v>50-75% of the AA never contains surface water.</v>
      </c>
      <c r="D74" s="399">
        <f>F!D153</f>
        <v>0</v>
      </c>
      <c r="E74" s="76">
        <v>3</v>
      </c>
      <c r="F74" s="93">
        <f t="shared" si="4"/>
        <v>0</v>
      </c>
      <c r="G74" s="191"/>
      <c r="H74" s="2266"/>
      <c r="I74" s="64"/>
    </row>
    <row r="75" spans="1:9" ht="25.5" x14ac:dyDescent="0.2">
      <c r="A75" s="2262"/>
      <c r="B75" s="250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266"/>
      <c r="I75" s="64"/>
    </row>
    <row r="76" spans="1:9" ht="26.25" thickBot="1" x14ac:dyDescent="0.25">
      <c r="A76" s="2262"/>
      <c r="B76" s="2509"/>
      <c r="C76" s="1356" t="str">
        <f>F!C155</f>
        <v>&gt; 99%. AND during most years there is never more than 0.1 ha of ponded surface water within the AA. Enter "1" and SKIP to F43 (Channel Connection).</v>
      </c>
      <c r="D76" s="411">
        <f>F!D155</f>
        <v>0</v>
      </c>
      <c r="E76" s="79">
        <v>0</v>
      </c>
      <c r="F76" s="95">
        <f t="shared" si="4"/>
        <v>0</v>
      </c>
      <c r="G76" s="238"/>
      <c r="H76" s="2267"/>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75" t="str">
        <f>F!A175</f>
        <v>F29</v>
      </c>
      <c r="B79" s="2543"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v>
      </c>
      <c r="H79" s="2271" t="s">
        <v>2121</v>
      </c>
      <c r="I79" s="283" t="s">
        <v>2122</v>
      </c>
    </row>
    <row r="80" spans="1:9" x14ac:dyDescent="0.2">
      <c r="A80" s="2377"/>
      <c r="B80" s="2544"/>
      <c r="C80" s="150" t="str">
        <f>F!C176</f>
        <v>&lt;10 cm deep (but &gt;0).</v>
      </c>
      <c r="D80" s="401">
        <f>F!D176</f>
        <v>0</v>
      </c>
      <c r="E80" s="86">
        <v>4</v>
      </c>
      <c r="F80" s="93">
        <f t="shared" ref="F80:F88" si="5">D80*E80</f>
        <v>0</v>
      </c>
      <c r="G80" s="191"/>
      <c r="H80" s="2266"/>
      <c r="I80" s="64"/>
    </row>
    <row r="81" spans="1:9" x14ac:dyDescent="0.2">
      <c r="A81" s="2377"/>
      <c r="B81" s="2544"/>
      <c r="C81" s="281" t="str">
        <f>F!C177</f>
        <v>10 - 50 cm deep.</v>
      </c>
      <c r="D81" s="558">
        <f>F!D177</f>
        <v>0</v>
      </c>
      <c r="E81" s="86">
        <v>3</v>
      </c>
      <c r="F81" s="93">
        <f t="shared" si="5"/>
        <v>0</v>
      </c>
      <c r="G81" s="192"/>
      <c r="H81" s="2266"/>
      <c r="I81" s="64"/>
    </row>
    <row r="82" spans="1:9" x14ac:dyDescent="0.2">
      <c r="A82" s="2377"/>
      <c r="B82" s="2544"/>
      <c r="C82" s="281" t="str">
        <f>F!C178</f>
        <v>0.5 - 1 m deep.</v>
      </c>
      <c r="D82" s="558">
        <f>F!D178</f>
        <v>0</v>
      </c>
      <c r="E82" s="86">
        <v>5</v>
      </c>
      <c r="F82" s="93">
        <f t="shared" si="5"/>
        <v>0</v>
      </c>
      <c r="G82" s="192"/>
      <c r="H82" s="2266"/>
      <c r="I82" s="64"/>
    </row>
    <row r="83" spans="1:9" x14ac:dyDescent="0.2">
      <c r="A83" s="2377"/>
      <c r="B83" s="2544"/>
      <c r="C83" s="281" t="str">
        <f>F!C179</f>
        <v>1 - 2 m deep.</v>
      </c>
      <c r="D83" s="558">
        <f>F!D179</f>
        <v>0</v>
      </c>
      <c r="E83" s="86">
        <v>3</v>
      </c>
      <c r="F83" s="93">
        <f t="shared" si="5"/>
        <v>0</v>
      </c>
      <c r="G83" s="192"/>
      <c r="H83" s="2266"/>
      <c r="I83" s="64"/>
    </row>
    <row r="84" spans="1:9" ht="13.5" thickBot="1" x14ac:dyDescent="0.25">
      <c r="A84" s="2378"/>
      <c r="B84" s="2545"/>
      <c r="C84" s="249" t="str">
        <f>F!C180</f>
        <v>&gt;2 m deep. True for many fringe wetlands.</v>
      </c>
      <c r="D84" s="794">
        <f>F!D180</f>
        <v>0</v>
      </c>
      <c r="E84" s="87">
        <v>0</v>
      </c>
      <c r="F84" s="97">
        <f t="shared" si="5"/>
        <v>0</v>
      </c>
      <c r="G84" s="193"/>
      <c r="H84" s="2267"/>
      <c r="I84" s="282"/>
    </row>
    <row r="85" spans="1:9" ht="13.5" thickBot="1" x14ac:dyDescent="0.25">
      <c r="A85" s="2377" t="str">
        <f>F!A182</f>
        <v>F30</v>
      </c>
      <c r="B85" s="2588"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271" t="s">
        <v>2123</v>
      </c>
      <c r="I85" s="283" t="s">
        <v>2124</v>
      </c>
    </row>
    <row r="86" spans="1:9" ht="25.5" x14ac:dyDescent="0.2">
      <c r="A86" s="2377"/>
      <c r="B86" s="2544"/>
      <c r="C86" s="150" t="str">
        <f>F!C183</f>
        <v xml:space="preserve">One depth class that comprises &gt;90% of the AA’s inundated area (use the classes in the question above). </v>
      </c>
      <c r="D86" s="401">
        <f>F!D183</f>
        <v>0</v>
      </c>
      <c r="E86" s="76">
        <v>0</v>
      </c>
      <c r="F86" s="195">
        <f>D85*E85</f>
        <v>0</v>
      </c>
      <c r="G86" s="191"/>
      <c r="H86" s="2266"/>
      <c r="I86" s="64"/>
    </row>
    <row r="87" spans="1:9" x14ac:dyDescent="0.2">
      <c r="A87" s="2377"/>
      <c r="B87" s="2544"/>
      <c r="C87" s="281" t="str">
        <f>F!C184</f>
        <v>One depth class that comprises 50-90% of the AA's inundated area.</v>
      </c>
      <c r="D87" s="558">
        <f>F!D184</f>
        <v>0</v>
      </c>
      <c r="E87" s="26">
        <v>1</v>
      </c>
      <c r="F87" s="93">
        <f t="shared" si="5"/>
        <v>0</v>
      </c>
      <c r="G87" s="192"/>
      <c r="H87" s="2266"/>
      <c r="I87" s="64"/>
    </row>
    <row r="88" spans="1:9" ht="13.5" thickBot="1" x14ac:dyDescent="0.25">
      <c r="A88" s="2377"/>
      <c r="B88" s="2589"/>
      <c r="C88" s="151" t="str">
        <f>F!C185</f>
        <v>Neither of above. There are 3 or more depth classes and none occupy &gt;50%.</v>
      </c>
      <c r="D88" s="557">
        <f>F!D185</f>
        <v>0</v>
      </c>
      <c r="E88" s="25">
        <v>2</v>
      </c>
      <c r="F88" s="95">
        <f t="shared" si="5"/>
        <v>0</v>
      </c>
      <c r="G88" s="211"/>
      <c r="H88" s="2267"/>
      <c r="I88" s="282"/>
    </row>
    <row r="89" spans="1:9" ht="26.25" thickBot="1" x14ac:dyDescent="0.25">
      <c r="A89" s="2590" t="str">
        <f>F!A187</f>
        <v>F31</v>
      </c>
      <c r="B89" s="2543"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0</v>
      </c>
      <c r="H89" s="2271" t="s">
        <v>2125</v>
      </c>
      <c r="I89" s="283" t="s">
        <v>2126</v>
      </c>
    </row>
    <row r="90" spans="1:9" ht="25.5" x14ac:dyDescent="0.2">
      <c r="A90" s="2377"/>
      <c r="B90" s="2544"/>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66"/>
      <c r="I90" s="64"/>
    </row>
    <row r="91" spans="1:9" x14ac:dyDescent="0.2">
      <c r="A91" s="2377"/>
      <c r="B91" s="2544"/>
      <c r="C91" s="281" t="str">
        <f>F!C189</f>
        <v>5-30% of the water.</v>
      </c>
      <c r="D91" s="558">
        <f>F!D189</f>
        <v>0</v>
      </c>
      <c r="E91" s="76">
        <v>3</v>
      </c>
      <c r="F91" s="93">
        <f>D91*E91</f>
        <v>0</v>
      </c>
      <c r="G91" s="192"/>
      <c r="H91" s="2266"/>
      <c r="I91" s="64"/>
    </row>
    <row r="92" spans="1:9" x14ac:dyDescent="0.2">
      <c r="A92" s="2377"/>
      <c r="B92" s="2544"/>
      <c r="C92" s="281" t="str">
        <f>F!C190</f>
        <v>30-70% of the water.</v>
      </c>
      <c r="D92" s="558">
        <f>F!D190</f>
        <v>0</v>
      </c>
      <c r="E92" s="76">
        <v>4</v>
      </c>
      <c r="F92" s="93">
        <f>D92*E92</f>
        <v>0</v>
      </c>
      <c r="G92" s="211"/>
      <c r="H92" s="2266"/>
      <c r="I92" s="64"/>
    </row>
    <row r="93" spans="1:9" x14ac:dyDescent="0.2">
      <c r="A93" s="2377"/>
      <c r="B93" s="2544"/>
      <c r="C93" s="281" t="str">
        <f>F!C191</f>
        <v>70-95% of the water.</v>
      </c>
      <c r="D93" s="558">
        <f>F!D191</f>
        <v>0</v>
      </c>
      <c r="E93" s="76">
        <v>5</v>
      </c>
      <c r="F93" s="93">
        <f>D93*E93</f>
        <v>0</v>
      </c>
      <c r="G93" s="211"/>
      <c r="H93" s="2266"/>
      <c r="I93" s="64"/>
    </row>
    <row r="94" spans="1:9" ht="13.5" thickBot="1" x14ac:dyDescent="0.25">
      <c r="A94" s="2378"/>
      <c r="B94" s="2545"/>
      <c r="C94" s="249" t="str">
        <f>F!C192</f>
        <v>&gt;95% of the water. Includes but not limited to wetlands with no outlets (F42).</v>
      </c>
      <c r="D94" s="794">
        <f>F!D192</f>
        <v>0</v>
      </c>
      <c r="E94" s="77">
        <v>5</v>
      </c>
      <c r="F94" s="97">
        <f>D94*E94</f>
        <v>0</v>
      </c>
      <c r="G94" s="193"/>
      <c r="H94" s="2267"/>
      <c r="I94" s="282"/>
    </row>
    <row r="95" spans="1:9" ht="26.25" thickBot="1" x14ac:dyDescent="0.25">
      <c r="A95" s="2282" t="str">
        <f>F!A195</f>
        <v>F33</v>
      </c>
      <c r="B95" s="2508"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v>
      </c>
      <c r="H95" s="2271" t="s">
        <v>2127</v>
      </c>
      <c r="I95" s="283" t="s">
        <v>2128</v>
      </c>
    </row>
    <row r="96" spans="1:9" ht="25.5" x14ac:dyDescent="0.2">
      <c r="A96" s="2282"/>
      <c r="B96" s="2506"/>
      <c r="C96" s="853" t="str">
        <f>F!C196</f>
        <v>None, or &lt;1% of the AA and largest pool occupies &lt;0.01 hectares. Enter "1" and SKIP to F38 (Floating Algae &amp; Duckweed).</v>
      </c>
      <c r="D96" s="401">
        <f>F!D196</f>
        <v>0</v>
      </c>
      <c r="E96" s="76">
        <v>0</v>
      </c>
      <c r="F96" s="93">
        <f t="shared" ref="F96:F101" si="6">D96*E96</f>
        <v>0</v>
      </c>
      <c r="G96" s="191"/>
      <c r="H96" s="2266"/>
      <c r="I96" s="64"/>
    </row>
    <row r="97" spans="1:9" x14ac:dyDescent="0.2">
      <c r="A97" s="2282"/>
      <c r="B97" s="2506"/>
      <c r="C97" s="150" t="str">
        <f>F!C197</f>
        <v>1-4% of the ponded water. Enter "1" and SKIP to F38 (Floating Algae &amp; Duckweed).</v>
      </c>
      <c r="D97" s="401">
        <f>F!D197</f>
        <v>0</v>
      </c>
      <c r="E97" s="76">
        <v>2</v>
      </c>
      <c r="F97" s="93">
        <f t="shared" si="6"/>
        <v>0</v>
      </c>
      <c r="G97" s="192"/>
      <c r="H97" s="2266"/>
      <c r="I97" s="64"/>
    </row>
    <row r="98" spans="1:9" x14ac:dyDescent="0.2">
      <c r="A98" s="2282"/>
      <c r="B98" s="2506"/>
      <c r="C98" s="281" t="str">
        <f>F!C198</f>
        <v>5-30% of the ponded water.</v>
      </c>
      <c r="D98" s="558">
        <f>F!D198</f>
        <v>0</v>
      </c>
      <c r="E98" s="76">
        <v>5</v>
      </c>
      <c r="F98" s="93">
        <f t="shared" si="6"/>
        <v>0</v>
      </c>
      <c r="G98" s="192"/>
      <c r="H98" s="2266"/>
      <c r="I98" s="64"/>
    </row>
    <row r="99" spans="1:9" x14ac:dyDescent="0.2">
      <c r="A99" s="2282"/>
      <c r="B99" s="2506"/>
      <c r="C99" s="2" t="str">
        <f>F!C199</f>
        <v>30-70% of the ponded water.</v>
      </c>
      <c r="D99" s="479">
        <f>F!D199</f>
        <v>0</v>
      </c>
      <c r="E99" s="76">
        <v>7</v>
      </c>
      <c r="F99" s="93">
        <f t="shared" si="6"/>
        <v>0</v>
      </c>
      <c r="G99" s="192"/>
      <c r="H99" s="2266"/>
      <c r="I99" s="64"/>
    </row>
    <row r="100" spans="1:9" x14ac:dyDescent="0.2">
      <c r="A100" s="2282"/>
      <c r="B100" s="2506"/>
      <c r="C100" s="151" t="str">
        <f>F!C200</f>
        <v>70-99% of the ponded water.</v>
      </c>
      <c r="D100" s="557">
        <f>F!D200</f>
        <v>0</v>
      </c>
      <c r="E100" s="76">
        <v>4</v>
      </c>
      <c r="F100" s="93">
        <f t="shared" si="6"/>
        <v>0</v>
      </c>
      <c r="G100" s="211"/>
      <c r="H100" s="2266"/>
      <c r="I100" s="64"/>
    </row>
    <row r="101" spans="1:9" ht="13.5" thickBot="1" x14ac:dyDescent="0.25">
      <c r="A101" s="2282"/>
      <c r="B101" s="2509"/>
      <c r="C101" s="151" t="str">
        <f>F!C201</f>
        <v xml:space="preserve">100% of the ponded water. </v>
      </c>
      <c r="D101" s="557">
        <f>F!D201</f>
        <v>0</v>
      </c>
      <c r="E101" s="89">
        <v>3</v>
      </c>
      <c r="F101" s="95">
        <f t="shared" si="6"/>
        <v>0</v>
      </c>
      <c r="G101" s="211"/>
      <c r="H101" s="2267"/>
      <c r="I101" s="282"/>
    </row>
    <row r="102" spans="1:9" ht="26.25" thickBot="1" x14ac:dyDescent="0.25">
      <c r="A102" s="2261" t="str">
        <f>F!A217</f>
        <v>F36</v>
      </c>
      <c r="B102" s="2555"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271" t="s">
        <v>2129</v>
      </c>
      <c r="I102" s="283" t="s">
        <v>2130</v>
      </c>
    </row>
    <row r="103" spans="1:9" ht="25.5" x14ac:dyDescent="0.2">
      <c r="A103" s="2262"/>
      <c r="B103" s="2506"/>
      <c r="C103" s="150" t="str">
        <f>F!C218</f>
        <v>Scattered. More than 30% of such vegetation forms small islands or corridors surrounded by water.</v>
      </c>
      <c r="D103" s="401">
        <f>F!D218</f>
        <v>0</v>
      </c>
      <c r="E103" s="76">
        <v>3</v>
      </c>
      <c r="F103" s="93">
        <f>D103*E103</f>
        <v>0</v>
      </c>
      <c r="G103" s="578"/>
      <c r="H103" s="2266"/>
      <c r="I103" s="64"/>
    </row>
    <row r="104" spans="1:9" x14ac:dyDescent="0.2">
      <c r="A104" s="2262"/>
      <c r="B104" s="2506"/>
      <c r="C104" s="281" t="str">
        <f>F!C219</f>
        <v>Intermediate.</v>
      </c>
      <c r="D104" s="558">
        <f>F!D219</f>
        <v>0</v>
      </c>
      <c r="E104" s="76">
        <v>2</v>
      </c>
      <c r="F104" s="93">
        <f>D104*E104</f>
        <v>0</v>
      </c>
      <c r="G104" s="578"/>
      <c r="H104" s="2266"/>
      <c r="I104" s="64"/>
    </row>
    <row r="105" spans="1:9" ht="26.25" thickBot="1" x14ac:dyDescent="0.25">
      <c r="A105" s="2263"/>
      <c r="B105" s="2507"/>
      <c r="C105" s="249" t="str">
        <f>F!C220</f>
        <v>Clumped. More than 70% of such vegetation is in bands along the wetland perimeter or is clumped at one or a few sides of the surface water area.</v>
      </c>
      <c r="D105" s="794">
        <f>F!D220</f>
        <v>0</v>
      </c>
      <c r="E105" s="77">
        <v>0</v>
      </c>
      <c r="F105" s="97">
        <f>D105*E105</f>
        <v>0</v>
      </c>
      <c r="G105" s="579"/>
      <c r="H105" s="2267"/>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62" t="str">
        <f>F!A251</f>
        <v>F47</v>
      </c>
      <c r="B107" s="2508" t="str">
        <f>F!B251</f>
        <v>Beaver Probability [SFTS, CC, APP, FA, FR, AM, WBF, WBN, RSB, KMH, PH, Sens]</v>
      </c>
      <c r="C107" s="253" t="str">
        <f>F!C251</f>
        <v>Use of the AA by beaver during the past 5 years is (select most applicable ONE):</v>
      </c>
      <c r="D107" s="573"/>
      <c r="E107" s="75"/>
      <c r="F107" s="90"/>
      <c r="G107" s="348">
        <f>MAX(F108:F110)/MAX(E108:E110)</f>
        <v>0</v>
      </c>
      <c r="H107" s="2266" t="s">
        <v>8935</v>
      </c>
      <c r="I107" s="64" t="s">
        <v>2131</v>
      </c>
    </row>
    <row r="108" spans="1:9" ht="25.5" x14ac:dyDescent="0.2">
      <c r="A108" s="2262"/>
      <c r="B108" s="2506"/>
      <c r="C108" s="150" t="str">
        <f>F!C252</f>
        <v>Evident from direct observation or presence of gnawed limbs, dams, tracks, dens, lodges, or extensive stands of water-killed trees (snags).</v>
      </c>
      <c r="D108" s="401">
        <f>F!D252</f>
        <v>0</v>
      </c>
      <c r="E108" s="75">
        <v>3</v>
      </c>
      <c r="F108" s="93">
        <f>D108*E108</f>
        <v>0</v>
      </c>
      <c r="G108" s="191"/>
      <c r="H108" s="2266"/>
      <c r="I108" s="64"/>
    </row>
    <row r="109" spans="1:9" ht="51" x14ac:dyDescent="0.2">
      <c r="A109" s="2262"/>
      <c r="B109" s="250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266"/>
      <c r="I109" s="64"/>
    </row>
    <row r="110" spans="1:9" ht="26.25" thickBot="1" x14ac:dyDescent="0.25">
      <c r="A110" s="2262"/>
      <c r="B110" s="2509"/>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267"/>
      <c r="I110" s="282"/>
    </row>
    <row r="111" spans="1:9" ht="13.5" thickBot="1" x14ac:dyDescent="0.25">
      <c r="A111" s="2575" t="str">
        <f>F!A260</f>
        <v>F49</v>
      </c>
      <c r="B111" s="2543" t="str">
        <f>F!B260</f>
        <v>Internal Gradient [WS, SR, PR, NR, OE, WBF, WBN]</v>
      </c>
      <c r="C111" s="63" t="str">
        <f>F!C260</f>
        <v>The gradient along most of the flow path within the AA is:</v>
      </c>
      <c r="D111" s="574"/>
      <c r="E111" s="80"/>
      <c r="F111" s="91"/>
      <c r="G111" s="165">
        <f>MAX(F112:F115)/MAX(E112:E115)</f>
        <v>0</v>
      </c>
      <c r="H111" s="2271" t="s">
        <v>2132</v>
      </c>
      <c r="I111" s="283" t="s">
        <v>2133</v>
      </c>
    </row>
    <row r="112" spans="1:9" x14ac:dyDescent="0.2">
      <c r="A112" s="2377"/>
      <c r="B112" s="2544"/>
      <c r="C112" s="252" t="str">
        <f>F!C261</f>
        <v>&lt;2% or the AA has no surface water outlet (not even seasonally).</v>
      </c>
      <c r="D112" s="479">
        <f>F!D261</f>
        <v>0</v>
      </c>
      <c r="E112" s="76">
        <v>4</v>
      </c>
      <c r="F112" s="93">
        <f>D112*E112</f>
        <v>0</v>
      </c>
      <c r="G112" s="326"/>
      <c r="H112" s="2266"/>
      <c r="I112" s="64"/>
    </row>
    <row r="113" spans="1:9" x14ac:dyDescent="0.2">
      <c r="A113" s="2377"/>
      <c r="B113" s="2544"/>
      <c r="C113" s="281" t="str">
        <f>F!C262</f>
        <v>2-5%.</v>
      </c>
      <c r="D113" s="558">
        <f>F!D262</f>
        <v>0</v>
      </c>
      <c r="E113" s="76">
        <v>2</v>
      </c>
      <c r="F113" s="93">
        <f>D113*E113</f>
        <v>0</v>
      </c>
      <c r="G113" s="327"/>
      <c r="H113" s="2266"/>
      <c r="I113" s="64"/>
    </row>
    <row r="114" spans="1:9" x14ac:dyDescent="0.2">
      <c r="A114" s="2377"/>
      <c r="B114" s="2544"/>
      <c r="C114" s="2" t="str">
        <f>F!C263</f>
        <v>6-10%.</v>
      </c>
      <c r="D114" s="479">
        <f>F!D263</f>
        <v>0</v>
      </c>
      <c r="E114" s="76">
        <v>1</v>
      </c>
      <c r="F114" s="93">
        <f>D114*E114</f>
        <v>0</v>
      </c>
      <c r="G114" s="327"/>
      <c r="H114" s="2266"/>
      <c r="I114" s="64"/>
    </row>
    <row r="115" spans="1:9" ht="13.5" thickBot="1" x14ac:dyDescent="0.25">
      <c r="A115" s="2378"/>
      <c r="B115" s="2545"/>
      <c r="C115" s="249" t="str">
        <f>F!C264</f>
        <v>&gt;10%.</v>
      </c>
      <c r="D115" s="794">
        <f>F!D264</f>
        <v>0</v>
      </c>
      <c r="E115" s="77">
        <v>0</v>
      </c>
      <c r="F115" s="97">
        <f>D115*E115</f>
        <v>0</v>
      </c>
      <c r="G115" s="580"/>
      <c r="H115" s="2267"/>
      <c r="I115" s="282"/>
    </row>
    <row r="116" spans="1:9" s="3" customFormat="1" ht="26.25" customHeight="1" thickBot="1" x14ac:dyDescent="0.25">
      <c r="A116" s="2537" t="str">
        <f>F!A294</f>
        <v>F55</v>
      </c>
      <c r="B116" s="2246" t="str">
        <f>F!B294</f>
        <v>Fire History [WFR, CSP, PH, STR]</v>
      </c>
      <c r="C116" s="699" t="str">
        <f>F!C294</f>
        <v>More than 1% of the AA's previously vegetated area:</v>
      </c>
      <c r="D116" s="768"/>
      <c r="E116" s="122"/>
      <c r="F116" s="91"/>
      <c r="G116" s="165">
        <f>IF((D120=1),"",MAX(F117:F120)/MAX(E117:E120))</f>
        <v>0</v>
      </c>
      <c r="H116" s="2271" t="s">
        <v>8654</v>
      </c>
      <c r="I116" s="2252" t="s">
        <v>8563</v>
      </c>
    </row>
    <row r="117" spans="1:9" s="3" customFormat="1" x14ac:dyDescent="0.2">
      <c r="A117" s="2538"/>
      <c r="B117" s="2247"/>
      <c r="C117" s="700" t="str">
        <f>F!C295</f>
        <v>Burned within past 5 years.</v>
      </c>
      <c r="D117" s="399">
        <f>F!D295</f>
        <v>0</v>
      </c>
      <c r="E117" s="76">
        <v>5</v>
      </c>
      <c r="F117" s="93">
        <f t="shared" ref="F117:F120" si="7">D117*E117</f>
        <v>0</v>
      </c>
      <c r="G117" s="599"/>
      <c r="H117" s="2266"/>
      <c r="I117" s="2253"/>
    </row>
    <row r="118" spans="1:9" s="3" customFormat="1" x14ac:dyDescent="0.2">
      <c r="A118" s="2538"/>
      <c r="B118" s="2247"/>
      <c r="C118" s="700" t="str">
        <f>F!C296</f>
        <v>Burned 6-10 years ago.</v>
      </c>
      <c r="D118" s="399">
        <f>F!D296</f>
        <v>0</v>
      </c>
      <c r="E118" s="76">
        <v>2</v>
      </c>
      <c r="F118" s="93">
        <f t="shared" si="7"/>
        <v>0</v>
      </c>
      <c r="G118" s="578"/>
      <c r="H118" s="2266"/>
      <c r="I118" s="2253"/>
    </row>
    <row r="119" spans="1:9" s="3" customFormat="1" x14ac:dyDescent="0.2">
      <c r="A119" s="2538"/>
      <c r="B119" s="2247"/>
      <c r="C119" s="700" t="str">
        <f>F!C297</f>
        <v>Burned 11-30 years ago.</v>
      </c>
      <c r="D119" s="399">
        <f>F!D297</f>
        <v>0</v>
      </c>
      <c r="E119" s="76">
        <v>1</v>
      </c>
      <c r="F119" s="93">
        <f t="shared" si="7"/>
        <v>0</v>
      </c>
      <c r="G119" s="578"/>
      <c r="H119" s="2266"/>
      <c r="I119" s="2253"/>
    </row>
    <row r="120" spans="1:9" s="3" customFormat="1" ht="13.5" thickBot="1" x14ac:dyDescent="0.25">
      <c r="A120" s="2539"/>
      <c r="B120" s="2248"/>
      <c r="C120" s="696" t="str">
        <f>F!C298</f>
        <v>Burned &gt;30 years ago, or no evidence of a burn and no data.</v>
      </c>
      <c r="D120" s="400">
        <f>F!D298</f>
        <v>0</v>
      </c>
      <c r="E120" s="77">
        <v>0</v>
      </c>
      <c r="F120" s="97">
        <f t="shared" si="7"/>
        <v>0</v>
      </c>
      <c r="G120" s="579"/>
      <c r="H120" s="2267"/>
      <c r="I120" s="2254"/>
    </row>
    <row r="121" spans="1:9" ht="26.25" thickBot="1" x14ac:dyDescent="0.25">
      <c r="A121" s="2377" t="str">
        <f>F!A308</f>
        <v>F58</v>
      </c>
      <c r="B121" s="2588"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v>
      </c>
      <c r="H121" s="2266" t="s">
        <v>8936</v>
      </c>
      <c r="I121" s="283" t="s">
        <v>2134</v>
      </c>
    </row>
    <row r="122" spans="1:9" x14ac:dyDescent="0.2">
      <c r="A122" s="2377"/>
      <c r="B122" s="2544"/>
      <c r="C122" s="853" t="str">
        <f>F!C309</f>
        <v>&lt;5% and no inhabited building is within 100 m of the AA.</v>
      </c>
      <c r="D122" s="401">
        <f>F!D309</f>
        <v>0</v>
      </c>
      <c r="E122" s="99">
        <v>1</v>
      </c>
      <c r="F122" s="93">
        <f t="shared" ref="F122:F127" si="8">D122*E122</f>
        <v>0</v>
      </c>
      <c r="G122" s="260"/>
      <c r="H122" s="2266"/>
      <c r="I122" s="64"/>
    </row>
    <row r="123" spans="1:9" x14ac:dyDescent="0.2">
      <c r="A123" s="2377"/>
      <c r="B123" s="2544"/>
      <c r="C123" s="281" t="str">
        <f>F!C310</f>
        <v>&lt;5% and inhabited building is within 100 m of the AA.</v>
      </c>
      <c r="D123" s="558">
        <f>F!D310</f>
        <v>0</v>
      </c>
      <c r="E123" s="93">
        <v>0</v>
      </c>
      <c r="F123" s="93">
        <f t="shared" si="8"/>
        <v>0</v>
      </c>
      <c r="G123" s="261"/>
      <c r="H123" s="2266"/>
      <c r="I123" s="64"/>
    </row>
    <row r="124" spans="1:9" x14ac:dyDescent="0.2">
      <c r="A124" s="2377"/>
      <c r="B124" s="2544"/>
      <c r="C124" s="281" t="str">
        <f>F!C311</f>
        <v>5-50% and no inhabited building is within 100 m of the AA.</v>
      </c>
      <c r="D124" s="558">
        <f>F!D311</f>
        <v>0</v>
      </c>
      <c r="E124" s="93">
        <v>3</v>
      </c>
      <c r="F124" s="93">
        <f t="shared" si="8"/>
        <v>0</v>
      </c>
      <c r="G124" s="261"/>
      <c r="H124" s="2266"/>
      <c r="I124" s="64"/>
    </row>
    <row r="125" spans="1:9" x14ac:dyDescent="0.2">
      <c r="A125" s="2377"/>
      <c r="B125" s="2544"/>
      <c r="C125" s="281" t="str">
        <f>F!C312</f>
        <v>5-50% and inhabited building is within 100 m of the AA.</v>
      </c>
      <c r="D125" s="558">
        <f>F!D312</f>
        <v>0</v>
      </c>
      <c r="E125" s="93">
        <v>2</v>
      </c>
      <c r="F125" s="93">
        <f t="shared" si="8"/>
        <v>0</v>
      </c>
      <c r="G125" s="261"/>
      <c r="H125" s="2266"/>
      <c r="I125" s="64"/>
    </row>
    <row r="126" spans="1:9" x14ac:dyDescent="0.2">
      <c r="A126" s="2377"/>
      <c r="B126" s="2544"/>
      <c r="C126" s="281" t="str">
        <f>F!C313</f>
        <v>50-95%, with or without inhabited building nearby.</v>
      </c>
      <c r="D126" s="558">
        <f>F!D313</f>
        <v>0</v>
      </c>
      <c r="E126" s="93">
        <v>4</v>
      </c>
      <c r="F126" s="93">
        <f t="shared" si="8"/>
        <v>0</v>
      </c>
      <c r="G126" s="261"/>
      <c r="H126" s="2266"/>
      <c r="I126" s="64"/>
    </row>
    <row r="127" spans="1:9" ht="13.5" thickBot="1" x14ac:dyDescent="0.25">
      <c r="A127" s="2377"/>
      <c r="B127" s="2589"/>
      <c r="C127" s="2" t="str">
        <f>F!C314</f>
        <v>&gt;95% of the AA with or without inhabited building nearby.</v>
      </c>
      <c r="D127" s="479">
        <f>F!D314</f>
        <v>0</v>
      </c>
      <c r="E127" s="95">
        <v>5</v>
      </c>
      <c r="F127" s="95">
        <f t="shared" si="8"/>
        <v>0</v>
      </c>
      <c r="G127" s="264"/>
      <c r="H127" s="2267"/>
      <c r="I127" s="282"/>
    </row>
    <row r="128" spans="1:9" ht="26.25" thickBot="1" x14ac:dyDescent="0.25">
      <c r="A128" s="2575" t="str">
        <f>F!A316</f>
        <v>F59</v>
      </c>
      <c r="B128" s="2543"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271" t="s">
        <v>1148</v>
      </c>
      <c r="I128" s="283" t="s">
        <v>2135</v>
      </c>
    </row>
    <row r="129" spans="1:9" x14ac:dyDescent="0.2">
      <c r="A129" s="2377"/>
      <c r="B129" s="2544"/>
      <c r="C129" s="252" t="str">
        <f>F!C317</f>
        <v>&lt;5%. If F58 was answered "&gt;95%" (mostly never visited), SKIP to F62 (Consumptive Uses).</v>
      </c>
      <c r="D129" s="479">
        <f>F!D317</f>
        <v>0</v>
      </c>
      <c r="E129" s="93">
        <v>2</v>
      </c>
      <c r="F129" s="93">
        <f>D129*E129</f>
        <v>0</v>
      </c>
      <c r="G129" s="260"/>
      <c r="H129" s="2266"/>
      <c r="I129" s="64"/>
    </row>
    <row r="130" spans="1:9" x14ac:dyDescent="0.2">
      <c r="A130" s="2377"/>
      <c r="B130" s="2544"/>
      <c r="C130" s="281" t="str">
        <f>F!C318</f>
        <v>5-50%.</v>
      </c>
      <c r="D130" s="558">
        <f>F!D318</f>
        <v>0</v>
      </c>
      <c r="E130" s="93">
        <v>1</v>
      </c>
      <c r="F130" s="93">
        <f>D130*E130</f>
        <v>0</v>
      </c>
      <c r="G130" s="261"/>
      <c r="H130" s="2266"/>
      <c r="I130" s="64"/>
    </row>
    <row r="131" spans="1:9" x14ac:dyDescent="0.2">
      <c r="A131" s="2377"/>
      <c r="B131" s="2544"/>
      <c r="C131" s="2" t="str">
        <f>F!C319</f>
        <v>50-95%.</v>
      </c>
      <c r="D131" s="479">
        <f>F!D319</f>
        <v>0</v>
      </c>
      <c r="E131" s="93">
        <v>0</v>
      </c>
      <c r="F131" s="93">
        <f>D131*E131</f>
        <v>0</v>
      </c>
      <c r="G131" s="261"/>
      <c r="H131" s="2266"/>
      <c r="I131" s="64"/>
    </row>
    <row r="132" spans="1:9" ht="13.5" thickBot="1" x14ac:dyDescent="0.25">
      <c r="A132" s="2378"/>
      <c r="B132" s="2545"/>
      <c r="C132" s="249" t="str">
        <f>F!C320</f>
        <v>&gt;95% of the AA.</v>
      </c>
      <c r="D132" s="794">
        <f>F!D320</f>
        <v>0</v>
      </c>
      <c r="E132" s="97">
        <v>0</v>
      </c>
      <c r="F132" s="97">
        <f>D132*E132</f>
        <v>0</v>
      </c>
      <c r="G132" s="262"/>
      <c r="H132" s="2267"/>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58" t="str">
        <f>OF!A10</f>
        <v>OF2</v>
      </c>
      <c r="B137" s="250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v>
      </c>
      <c r="H137" s="2271" t="s">
        <v>2140</v>
      </c>
      <c r="I137" s="2572" t="s">
        <v>2141</v>
      </c>
    </row>
    <row r="138" spans="1:9" s="3" customFormat="1" x14ac:dyDescent="0.2">
      <c r="A138" s="2259"/>
      <c r="B138" s="2506"/>
      <c r="C138" s="766" t="str">
        <f>OF!C11</f>
        <v>&lt;0.01 hectare (about 10 m x 10 m).</v>
      </c>
      <c r="D138" s="399">
        <f>OF!D11</f>
        <v>0</v>
      </c>
      <c r="E138" s="93">
        <v>6</v>
      </c>
      <c r="F138" s="93">
        <f t="shared" ref="F138:F143" si="9">D138*E138</f>
        <v>0</v>
      </c>
      <c r="G138" s="578"/>
      <c r="H138" s="2266"/>
      <c r="I138" s="2573"/>
    </row>
    <row r="139" spans="1:9" s="3" customFormat="1" x14ac:dyDescent="0.2">
      <c r="A139" s="2259"/>
      <c r="B139" s="2506"/>
      <c r="C139" s="766" t="str">
        <f>OF!C12</f>
        <v>0.01 - 0.1 hectare.</v>
      </c>
      <c r="D139" s="399">
        <f>OF!D12</f>
        <v>0</v>
      </c>
      <c r="E139" s="93">
        <v>5</v>
      </c>
      <c r="F139" s="93">
        <f t="shared" si="9"/>
        <v>0</v>
      </c>
      <c r="G139" s="578"/>
      <c r="H139" s="2266"/>
      <c r="I139" s="2573"/>
    </row>
    <row r="140" spans="1:9" s="3" customFormat="1" x14ac:dyDescent="0.2">
      <c r="A140" s="2259"/>
      <c r="B140" s="2506"/>
      <c r="C140" s="766" t="str">
        <f>OF!C13</f>
        <v>0.1 - 1 hectare.</v>
      </c>
      <c r="D140" s="399">
        <f>OF!D13</f>
        <v>0</v>
      </c>
      <c r="E140" s="93">
        <v>4</v>
      </c>
      <c r="F140" s="93">
        <f t="shared" si="9"/>
        <v>0</v>
      </c>
      <c r="G140" s="578"/>
      <c r="H140" s="2266"/>
      <c r="I140" s="2573"/>
    </row>
    <row r="141" spans="1:9" s="3" customFormat="1" x14ac:dyDescent="0.2">
      <c r="A141" s="2259"/>
      <c r="B141" s="2506"/>
      <c r="C141" s="766" t="str">
        <f>OF!C14</f>
        <v>1 to 10 hectares.</v>
      </c>
      <c r="D141" s="399">
        <f>OF!D14</f>
        <v>0</v>
      </c>
      <c r="E141" s="93">
        <v>3</v>
      </c>
      <c r="F141" s="93">
        <f t="shared" si="9"/>
        <v>0</v>
      </c>
      <c r="G141" s="578"/>
      <c r="H141" s="2266"/>
      <c r="I141" s="2573"/>
    </row>
    <row r="142" spans="1:9" s="3" customFormat="1" x14ac:dyDescent="0.2">
      <c r="A142" s="2259"/>
      <c r="B142" s="2506"/>
      <c r="C142" s="766" t="str">
        <f>OF!C15</f>
        <v>10 to 100 hectares.</v>
      </c>
      <c r="D142" s="399">
        <f>OF!D15</f>
        <v>0</v>
      </c>
      <c r="E142" s="93">
        <v>2</v>
      </c>
      <c r="F142" s="93">
        <f t="shared" si="9"/>
        <v>0</v>
      </c>
      <c r="G142" s="578"/>
      <c r="H142" s="2266"/>
      <c r="I142" s="2573"/>
    </row>
    <row r="143" spans="1:9" s="3" customFormat="1" ht="13.5" thickBot="1" x14ac:dyDescent="0.25">
      <c r="A143" s="2259"/>
      <c r="B143" s="2509"/>
      <c r="C143" s="1356" t="str">
        <f>OF!C16</f>
        <v>&gt;100 hectares.</v>
      </c>
      <c r="D143" s="411">
        <f>OF!D16</f>
        <v>0</v>
      </c>
      <c r="E143" s="95">
        <v>0</v>
      </c>
      <c r="F143" s="95">
        <f t="shared" si="9"/>
        <v>0</v>
      </c>
      <c r="G143" s="1407"/>
      <c r="H143" s="2266"/>
      <c r="I143" s="2574"/>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2142</v>
      </c>
      <c r="I144" s="265" t="s">
        <v>2143</v>
      </c>
    </row>
    <row r="145" spans="1:9" s="3" customFormat="1" ht="26.25" thickBot="1" x14ac:dyDescent="0.25">
      <c r="A145" s="2259" t="str">
        <f>OF!A53</f>
        <v>OF9</v>
      </c>
      <c r="B145" s="2508"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v>
      </c>
      <c r="H145" s="2266" t="s">
        <v>2144</v>
      </c>
      <c r="I145" s="384" t="s">
        <v>2145</v>
      </c>
    </row>
    <row r="146" spans="1:9" s="3" customFormat="1" x14ac:dyDescent="0.2">
      <c r="A146" s="2259"/>
      <c r="B146" s="2506"/>
      <c r="C146" s="150" t="str">
        <f>OF!C54</f>
        <v>&lt;100 m.</v>
      </c>
      <c r="D146" s="398">
        <f>OF!D54</f>
        <v>0</v>
      </c>
      <c r="E146" s="176">
        <v>4</v>
      </c>
      <c r="F146" s="93">
        <f>D146*E146</f>
        <v>0</v>
      </c>
      <c r="G146" s="260"/>
      <c r="H146" s="2266"/>
      <c r="I146" s="359"/>
    </row>
    <row r="147" spans="1:9" s="3" customFormat="1" x14ac:dyDescent="0.2">
      <c r="A147" s="2259"/>
      <c r="B147" s="2506"/>
      <c r="C147" s="281" t="str">
        <f>OF!C55</f>
        <v>100 - 500 m.</v>
      </c>
      <c r="D147" s="399">
        <f>OF!D55</f>
        <v>0</v>
      </c>
      <c r="E147" s="176">
        <v>3</v>
      </c>
      <c r="F147" s="93">
        <f>D147*E147</f>
        <v>0</v>
      </c>
      <c r="G147" s="260"/>
      <c r="H147" s="2266"/>
      <c r="I147" s="359"/>
    </row>
    <row r="148" spans="1:9" s="3" customFormat="1" x14ac:dyDescent="0.2">
      <c r="A148" s="2259"/>
      <c r="B148" s="2506"/>
      <c r="C148" s="281" t="str">
        <f>OF!C56</f>
        <v>0.5- 1 km.</v>
      </c>
      <c r="D148" s="399">
        <f>OF!D56</f>
        <v>0</v>
      </c>
      <c r="E148" s="176">
        <v>2</v>
      </c>
      <c r="F148" s="93">
        <f>D148*E148</f>
        <v>0</v>
      </c>
      <c r="G148" s="260"/>
      <c r="H148" s="2266"/>
      <c r="I148" s="359"/>
    </row>
    <row r="149" spans="1:9" s="3" customFormat="1" x14ac:dyDescent="0.2">
      <c r="A149" s="2259"/>
      <c r="B149" s="2506"/>
      <c r="C149" s="281" t="str">
        <f>OF!C57</f>
        <v>1 - 5 km.</v>
      </c>
      <c r="D149" s="399">
        <f>OF!D57</f>
        <v>0</v>
      </c>
      <c r="E149" s="176">
        <v>1</v>
      </c>
      <c r="F149" s="93">
        <f>D149*E149</f>
        <v>0</v>
      </c>
      <c r="G149" s="260"/>
      <c r="H149" s="2266"/>
      <c r="I149" s="359"/>
    </row>
    <row r="150" spans="1:9" ht="13.5" thickBot="1" x14ac:dyDescent="0.25">
      <c r="A150" s="2259"/>
      <c r="B150" s="2509"/>
      <c r="C150" s="151" t="str">
        <f>OF!C58</f>
        <v>&gt;5 km.</v>
      </c>
      <c r="D150" s="400">
        <f>OF!D58</f>
        <v>0</v>
      </c>
      <c r="E150" s="196">
        <v>0</v>
      </c>
      <c r="F150" s="97">
        <f>D150*E150</f>
        <v>0</v>
      </c>
      <c r="G150" s="575"/>
      <c r="H150" s="2266"/>
      <c r="I150" s="335"/>
    </row>
    <row r="151" spans="1:9" s="3" customFormat="1" ht="26.25" thickBot="1" x14ac:dyDescent="0.25">
      <c r="A151" s="2605" t="str">
        <f>OF!A74</f>
        <v>OF13</v>
      </c>
      <c r="B151" s="2555"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271" t="s">
        <v>2140</v>
      </c>
      <c r="I151" s="2606" t="s">
        <v>2146</v>
      </c>
    </row>
    <row r="152" spans="1:9" s="3" customFormat="1" ht="25.5" x14ac:dyDescent="0.2">
      <c r="A152" s="2259"/>
      <c r="B152" s="250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266"/>
      <c r="I152" s="2607"/>
    </row>
    <row r="153" spans="1:9" s="3" customFormat="1" x14ac:dyDescent="0.2">
      <c r="A153" s="2259"/>
      <c r="B153" s="2506"/>
      <c r="C153" s="281" t="str">
        <f>OF!C76</f>
        <v>&lt;50 m, but completely separated by those features.</v>
      </c>
      <c r="D153" s="399">
        <f>OF!D76</f>
        <v>0</v>
      </c>
      <c r="E153" s="244">
        <v>0</v>
      </c>
      <c r="F153" s="76">
        <f t="shared" si="10"/>
        <v>0</v>
      </c>
      <c r="G153" s="181"/>
      <c r="H153" s="2266"/>
      <c r="I153" s="2607"/>
    </row>
    <row r="154" spans="1:9" s="3" customFormat="1" x14ac:dyDescent="0.2">
      <c r="A154" s="2259"/>
      <c r="B154" s="2506"/>
      <c r="C154" s="281" t="str">
        <f>OF!C77</f>
        <v>50-500 m, and not separated.</v>
      </c>
      <c r="D154" s="399">
        <f>OF!D77</f>
        <v>0</v>
      </c>
      <c r="E154" s="244">
        <v>1</v>
      </c>
      <c r="F154" s="76">
        <f t="shared" si="10"/>
        <v>0</v>
      </c>
      <c r="G154" s="181"/>
      <c r="H154" s="2266"/>
      <c r="I154" s="2607"/>
    </row>
    <row r="155" spans="1:9" s="3" customFormat="1" x14ac:dyDescent="0.2">
      <c r="A155" s="2259"/>
      <c r="B155" s="2506"/>
      <c r="C155" s="281" t="str">
        <f>OF!C78</f>
        <v>50-500 m, but separated by those features.</v>
      </c>
      <c r="D155" s="399">
        <f>OF!D78</f>
        <v>0</v>
      </c>
      <c r="E155" s="244">
        <v>1</v>
      </c>
      <c r="F155" s="76">
        <f t="shared" si="10"/>
        <v>0</v>
      </c>
      <c r="G155" s="181"/>
      <c r="H155" s="2266"/>
      <c r="I155" s="2607"/>
    </row>
    <row r="156" spans="1:9" s="3" customFormat="1" x14ac:dyDescent="0.2">
      <c r="A156" s="2259"/>
      <c r="B156" s="2506"/>
      <c r="C156" s="281" t="str">
        <f>OF!C79</f>
        <v>0.5 - 1 km, and not separated.</v>
      </c>
      <c r="D156" s="399">
        <f>OF!D79</f>
        <v>0</v>
      </c>
      <c r="E156" s="244">
        <v>2</v>
      </c>
      <c r="F156" s="76">
        <f t="shared" si="10"/>
        <v>0</v>
      </c>
      <c r="G156" s="181"/>
      <c r="H156" s="2266"/>
      <c r="I156" s="2607"/>
    </row>
    <row r="157" spans="1:9" s="3" customFormat="1" x14ac:dyDescent="0.2">
      <c r="A157" s="2259"/>
      <c r="B157" s="2506"/>
      <c r="C157" s="281" t="str">
        <f>OF!C80</f>
        <v>0.5 - 1 km, but separated by those features.</v>
      </c>
      <c r="D157" s="399">
        <f>OF!D80</f>
        <v>0</v>
      </c>
      <c r="E157" s="244">
        <v>2</v>
      </c>
      <c r="F157" s="76">
        <f t="shared" si="10"/>
        <v>0</v>
      </c>
      <c r="G157" s="181"/>
      <c r="H157" s="2266"/>
      <c r="I157" s="2607"/>
    </row>
    <row r="158" spans="1:9" s="3" customFormat="1" ht="13.5" thickBot="1" x14ac:dyDescent="0.25">
      <c r="A158" s="2260"/>
      <c r="B158" s="2507"/>
      <c r="C158" s="249" t="str">
        <f>OF!C81</f>
        <v>None of the above (the closest patches or corridors that large are &gt;1 km away).</v>
      </c>
      <c r="D158" s="400">
        <f>OF!D81</f>
        <v>0</v>
      </c>
      <c r="E158" s="255">
        <v>4</v>
      </c>
      <c r="F158" s="77">
        <f t="shared" si="10"/>
        <v>0</v>
      </c>
      <c r="G158" s="182"/>
      <c r="H158" s="2267"/>
      <c r="I158" s="2608"/>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61" t="str">
        <f>F!A300</f>
        <v>F56</v>
      </c>
      <c r="B161" s="2508"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266" t="s">
        <v>2150</v>
      </c>
      <c r="I161" s="283" t="s">
        <v>2151</v>
      </c>
    </row>
    <row r="162" spans="1:14" x14ac:dyDescent="0.2">
      <c r="A162" s="2361"/>
      <c r="B162" s="2506"/>
      <c r="C162" s="853" t="str">
        <f>F!C301</f>
        <v>&lt;25%.</v>
      </c>
      <c r="D162" s="803">
        <f>F!D301</f>
        <v>0</v>
      </c>
      <c r="E162" s="93">
        <v>0</v>
      </c>
      <c r="F162" s="93">
        <f>D162*E162</f>
        <v>0</v>
      </c>
      <c r="G162" s="583"/>
      <c r="H162" s="2266"/>
      <c r="I162" s="64"/>
    </row>
    <row r="163" spans="1:14" s="3" customFormat="1" x14ac:dyDescent="0.2">
      <c r="A163" s="2361"/>
      <c r="B163" s="2506"/>
      <c r="C163" s="2" t="str">
        <f>F!C302</f>
        <v>25-50%.</v>
      </c>
      <c r="D163" s="479">
        <f>F!D302</f>
        <v>0</v>
      </c>
      <c r="E163" s="99">
        <v>1</v>
      </c>
      <c r="F163" s="93">
        <f>D163*E163</f>
        <v>0</v>
      </c>
      <c r="G163" s="583"/>
      <c r="H163" s="2266"/>
      <c r="I163" s="64"/>
    </row>
    <row r="164" spans="1:14" s="3" customFormat="1" ht="13.5" thickBot="1" x14ac:dyDescent="0.25">
      <c r="A164" s="2361"/>
      <c r="B164" s="2509"/>
      <c r="C164" s="151" t="str">
        <f>F!C303</f>
        <v>&gt;50%.</v>
      </c>
      <c r="D164" s="557">
        <f>F!D303</f>
        <v>0</v>
      </c>
      <c r="E164" s="186">
        <v>2</v>
      </c>
      <c r="F164" s="95">
        <f>D164*E164</f>
        <v>0</v>
      </c>
      <c r="G164" s="584"/>
      <c r="H164" s="2266"/>
      <c r="I164" s="64"/>
    </row>
    <row r="165" spans="1:14" s="3" customFormat="1" ht="26.25" thickBot="1" x14ac:dyDescent="0.25">
      <c r="A165" s="2614" t="str">
        <f>F!A304</f>
        <v>F57</v>
      </c>
      <c r="B165" s="250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v>
      </c>
      <c r="H165" s="2271" t="s">
        <v>2152</v>
      </c>
      <c r="I165" s="2252" t="s">
        <v>2153</v>
      </c>
    </row>
    <row r="166" spans="1:14" s="3" customFormat="1" ht="25.5" x14ac:dyDescent="0.2">
      <c r="A166" s="2615"/>
      <c r="B166" s="2506"/>
      <c r="C166" s="766" t="str">
        <f>F!C305</f>
        <v>For an average person, walking is physically possible in (not just near) &gt;5% of the AA during most of the growing season, e.g., free of deep water and dense shrub thickets.</v>
      </c>
      <c r="D166" s="399">
        <f>F!D305</f>
        <v>0</v>
      </c>
      <c r="E166" s="93"/>
      <c r="F166" s="93"/>
      <c r="G166" s="578"/>
      <c r="H166" s="2266"/>
      <c r="I166" s="2253"/>
    </row>
    <row r="167" spans="1:14" s="3" customFormat="1" ht="25.5" x14ac:dyDescent="0.2">
      <c r="A167" s="2615"/>
      <c r="B167" s="2506"/>
      <c r="C167" s="766" t="str">
        <f>F!C306</f>
        <v>Maintained roads, parking areas, or foot-trails are within 10 m of the AA, or the AA can be accessed part of the year by boats arriving via contiguous waters.</v>
      </c>
      <c r="D167" s="399">
        <f>F!D306</f>
        <v>0</v>
      </c>
      <c r="E167" s="93"/>
      <c r="F167" s="93"/>
      <c r="G167" s="578"/>
      <c r="H167" s="2266"/>
      <c r="I167" s="2253"/>
    </row>
    <row r="168" spans="1:14" s="3" customFormat="1" ht="26.25" thickBot="1" x14ac:dyDescent="0.25">
      <c r="A168" s="2616"/>
      <c r="B168" s="2507"/>
      <c r="C168" s="767" t="str">
        <f>F!C307</f>
        <v xml:space="preserve">Within or near the AA, there is an interpretive center, trails with interpretive signs or brochures, and/or regular guided interpretive tours. </v>
      </c>
      <c r="D168" s="400">
        <f>F!D307</f>
        <v>0</v>
      </c>
      <c r="E168" s="97"/>
      <c r="F168" s="97"/>
      <c r="G168" s="579"/>
      <c r="H168" s="2267"/>
      <c r="I168" s="2254"/>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11" t="s">
        <v>1830</v>
      </c>
      <c r="E171" s="2612"/>
      <c r="F171" s="2613"/>
      <c r="G171" s="655">
        <f>AVERAGE(PondedPct12, AreaTotal12,Mudflat12,Gradient12,MAX(SatPct12, PermWpct12), AVERAGE(Depth12, DepthEven12, Fringe12,Lake12a, warmth12))</f>
        <v>0</v>
      </c>
      <c r="H171" s="656" t="s">
        <v>9150</v>
      </c>
      <c r="I171" s="322" t="s">
        <v>2155</v>
      </c>
      <c r="J171" s="297" t="s">
        <v>2156</v>
      </c>
    </row>
    <row r="172" spans="1:14" ht="38.25" x14ac:dyDescent="0.2">
      <c r="C172" s="305"/>
      <c r="D172" s="2552" t="s">
        <v>1834</v>
      </c>
      <c r="E172" s="2553"/>
      <c r="F172" s="2554"/>
      <c r="G172" s="657">
        <f>AVERAGE(Wettype12,Interspers12,AVERAGE(Burned12,ABpct12,EmPct12,Duckweed,Beaver12))</f>
        <v>0</v>
      </c>
      <c r="H172" s="658" t="s">
        <v>9125</v>
      </c>
      <c r="I172" s="323" t="s">
        <v>2157</v>
      </c>
      <c r="J172" s="295" t="s">
        <v>9126</v>
      </c>
    </row>
    <row r="173" spans="1:14" ht="27.75" customHeight="1" x14ac:dyDescent="0.2">
      <c r="D173" s="2552" t="s">
        <v>1923</v>
      </c>
      <c r="E173" s="2553"/>
      <c r="F173" s="2554"/>
      <c r="G173" s="657" t="e">
        <f>AVERAGE(RareWBF12, APPscore12)</f>
        <v>#VALUE!</v>
      </c>
      <c r="H173" s="658" t="s">
        <v>8565</v>
      </c>
      <c r="I173" s="323" t="s">
        <v>2158</v>
      </c>
      <c r="J173" s="295" t="s">
        <v>9158</v>
      </c>
      <c r="K173" s="3"/>
      <c r="L173" s="3"/>
      <c r="M173" s="3"/>
      <c r="N173" s="3"/>
    </row>
    <row r="174" spans="1:14" ht="51" x14ac:dyDescent="0.2">
      <c r="D174" s="2552" t="s">
        <v>1838</v>
      </c>
      <c r="E174" s="2553"/>
      <c r="F174" s="2554"/>
      <c r="G174" s="657" t="str">
        <f>IF((Fen_+Marsh=0),"",AVERAGE(WetTypeDiv12,PondProx12,BigPondProx12, TidalProx12))</f>
        <v/>
      </c>
      <c r="H174" s="658" t="s">
        <v>2160</v>
      </c>
      <c r="I174" s="323" t="s">
        <v>2161</v>
      </c>
      <c r="J174" s="295" t="s">
        <v>2162</v>
      </c>
      <c r="K174" s="3"/>
      <c r="L174" s="3"/>
      <c r="M174" s="3"/>
      <c r="N174" s="3"/>
    </row>
    <row r="175" spans="1:14" ht="26.25" thickBot="1" x14ac:dyDescent="0.25">
      <c r="D175" s="2549" t="s">
        <v>2031</v>
      </c>
      <c r="E175" s="2550"/>
      <c r="F175" s="2551"/>
      <c r="G175" s="659">
        <f>AVERAGE(Core12a, Core12b, _BMP12,_Tox12, Noise12)</f>
        <v>0.2</v>
      </c>
      <c r="H175" s="660" t="s">
        <v>8567</v>
      </c>
      <c r="I175" s="324" t="s">
        <v>2163</v>
      </c>
      <c r="J175" s="298" t="s">
        <v>2164</v>
      </c>
    </row>
    <row r="176" spans="1:14" ht="51.75" thickBot="1" x14ac:dyDescent="0.35">
      <c r="A176" s="2315"/>
      <c r="B176" s="2316"/>
      <c r="C176" s="382" t="s">
        <v>1725</v>
      </c>
      <c r="D176" s="397"/>
      <c r="E176" s="383"/>
      <c r="F176" s="336" t="s">
        <v>988</v>
      </c>
      <c r="G176" s="1421">
        <f>IF((AllSat1=1),0,IF((HerbCov12=0),0,IF((TooSteep=1),0,IF((AreaTotal12=0),0,10*(3*Hydro12 + 2*Struc12 + AVERAGE(Lscape12,Stress12,Produc12))/6))))</f>
        <v>0</v>
      </c>
      <c r="H176" s="2609" t="s">
        <v>8560</v>
      </c>
      <c r="I176" s="2610"/>
      <c r="J176" s="499" t="s">
        <v>2165</v>
      </c>
    </row>
    <row r="177" spans="1:10" ht="64.5" thickBot="1" x14ac:dyDescent="0.25">
      <c r="A177" s="2315"/>
      <c r="B177" s="2316"/>
      <c r="C177" s="382" t="s">
        <v>2166</v>
      </c>
      <c r="D177" s="397"/>
      <c r="E177" s="383"/>
      <c r="F177" s="336" t="s">
        <v>991</v>
      </c>
      <c r="G177" s="1367">
        <f>10*(IF((Rare12=1),1, IF((IBird12v=1),1, MAX(HerbUniq12,DistPond12,PondArea1k12v,AVERAGE(DuckHunt,1-Core12a, Access12v,PopCtr12,Visib12)))))</f>
        <v>2</v>
      </c>
      <c r="H177" s="2288" t="s">
        <v>9151</v>
      </c>
      <c r="I177" s="228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 ref="H18:H24"/>
    <mergeCell ref="H10:H17"/>
    <mergeCell ref="H3:H9"/>
    <mergeCell ref="H46:H50"/>
    <mergeCell ref="H52:H57"/>
    <mergeCell ref="H39:H45"/>
    <mergeCell ref="H177:I177"/>
    <mergeCell ref="H70:H76"/>
    <mergeCell ref="H64:H69"/>
    <mergeCell ref="H79:H84"/>
    <mergeCell ref="H85:H88"/>
    <mergeCell ref="I137:I143"/>
    <mergeCell ref="H89:H94"/>
    <mergeCell ref="H95:H101"/>
    <mergeCell ref="H102:H105"/>
    <mergeCell ref="H165:H168"/>
    <mergeCell ref="I165:I168"/>
    <mergeCell ref="H116:H120"/>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89:A94"/>
    <mergeCell ref="B89:B94"/>
    <mergeCell ref="A102:A105"/>
    <mergeCell ref="B102:B105"/>
    <mergeCell ref="A79:A84"/>
    <mergeCell ref="B79:B84"/>
    <mergeCell ref="A1:B1"/>
    <mergeCell ref="B10:B17"/>
    <mergeCell ref="A25:A31"/>
    <mergeCell ref="B3:B9"/>
    <mergeCell ref="A39:A45"/>
    <mergeCell ref="B39:B45"/>
    <mergeCell ref="A10:A17"/>
    <mergeCell ref="A32:A36"/>
    <mergeCell ref="B32:B36"/>
    <mergeCell ref="A3:A9"/>
    <mergeCell ref="B25:B31"/>
    <mergeCell ref="A18:A24"/>
    <mergeCell ref="B18:B24"/>
    <mergeCell ref="A46:A50"/>
    <mergeCell ref="B46:B50"/>
    <mergeCell ref="B58:B63"/>
    <mergeCell ref="A52:A57"/>
    <mergeCell ref="B52:B57"/>
    <mergeCell ref="A58:A63"/>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87" t="s">
        <v>2182</v>
      </c>
      <c r="B1" s="238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23"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v>
      </c>
      <c r="H3" s="2271" t="s">
        <v>8937</v>
      </c>
      <c r="I3" s="384" t="s">
        <v>2184</v>
      </c>
      <c r="J3" s="277"/>
      <c r="K3" s="277" t="s">
        <v>2185</v>
      </c>
    </row>
    <row r="4" spans="1:11" x14ac:dyDescent="0.2">
      <c r="A4" s="1541"/>
      <c r="B4" s="2621"/>
      <c r="C4" s="586" t="str">
        <f>OF!C11</f>
        <v>&lt;0.01 hectare (about 10 m x 10 m).</v>
      </c>
      <c r="D4" s="797">
        <f>OF!D11</f>
        <v>0</v>
      </c>
      <c r="E4" s="75">
        <v>0</v>
      </c>
      <c r="F4" s="76">
        <f t="shared" ref="F4:F9" si="0">D4*E4</f>
        <v>0</v>
      </c>
      <c r="G4" s="261"/>
      <c r="H4" s="2266"/>
      <c r="I4" s="359"/>
      <c r="J4" s="277"/>
      <c r="K4" s="277"/>
    </row>
    <row r="5" spans="1:11" x14ac:dyDescent="0.2">
      <c r="A5" s="1541"/>
      <c r="B5" s="2621"/>
      <c r="C5" s="587" t="str">
        <f>OF!C12</f>
        <v>0.01 - 0.1 hectare.</v>
      </c>
      <c r="D5" s="798">
        <f>OF!D12</f>
        <v>0</v>
      </c>
      <c r="E5" s="75">
        <v>2</v>
      </c>
      <c r="F5" s="76">
        <f t="shared" si="0"/>
        <v>0</v>
      </c>
      <c r="G5" s="261"/>
      <c r="H5" s="2266"/>
      <c r="I5" s="359"/>
      <c r="J5" s="277"/>
      <c r="K5" s="277"/>
    </row>
    <row r="6" spans="1:11" x14ac:dyDescent="0.2">
      <c r="A6" s="1541"/>
      <c r="B6" s="2621"/>
      <c r="C6" s="587" t="str">
        <f>OF!C13</f>
        <v>0.1 - 1 hectare.</v>
      </c>
      <c r="D6" s="798">
        <f>OF!D13</f>
        <v>0</v>
      </c>
      <c r="E6" s="75">
        <v>3</v>
      </c>
      <c r="F6" s="76">
        <f t="shared" si="0"/>
        <v>0</v>
      </c>
      <c r="G6" s="261"/>
      <c r="H6" s="2266"/>
      <c r="I6" s="359"/>
      <c r="J6" s="277"/>
      <c r="K6" s="277"/>
    </row>
    <row r="7" spans="1:11" x14ac:dyDescent="0.2">
      <c r="A7" s="1541"/>
      <c r="B7" s="2621"/>
      <c r="C7" s="587" t="str">
        <f>OF!C14</f>
        <v>1 to 10 hectares.</v>
      </c>
      <c r="D7" s="798">
        <f>OF!D14</f>
        <v>0</v>
      </c>
      <c r="E7" s="75">
        <v>4</v>
      </c>
      <c r="F7" s="76">
        <f t="shared" si="0"/>
        <v>0</v>
      </c>
      <c r="G7" s="261"/>
      <c r="H7" s="2266"/>
      <c r="I7" s="359"/>
      <c r="J7" s="277"/>
      <c r="K7" s="277"/>
    </row>
    <row r="8" spans="1:11" x14ac:dyDescent="0.2">
      <c r="A8" s="1541"/>
      <c r="B8" s="2621"/>
      <c r="C8" s="587" t="str">
        <f>OF!C15</f>
        <v>10 to 100 hectares.</v>
      </c>
      <c r="D8" s="798">
        <f>OF!D15</f>
        <v>0</v>
      </c>
      <c r="E8" s="75">
        <v>5</v>
      </c>
      <c r="F8" s="76">
        <f t="shared" si="0"/>
        <v>0</v>
      </c>
      <c r="G8" s="261"/>
      <c r="H8" s="2266"/>
      <c r="I8" s="359"/>
      <c r="J8" s="277"/>
      <c r="K8" s="277"/>
    </row>
    <row r="9" spans="1:11" ht="13.5" thickBot="1" x14ac:dyDescent="0.25">
      <c r="A9" s="1542"/>
      <c r="B9" s="2624"/>
      <c r="C9" s="588" t="str">
        <f>OF!C16</f>
        <v>&gt;100 hectares.</v>
      </c>
      <c r="D9" s="817">
        <f>OF!D16</f>
        <v>0</v>
      </c>
      <c r="E9" s="84">
        <v>7</v>
      </c>
      <c r="F9" s="77">
        <f t="shared" si="0"/>
        <v>0</v>
      </c>
      <c r="G9" s="262"/>
      <c r="H9" s="2267"/>
      <c r="I9" s="335"/>
      <c r="J9" s="277"/>
      <c r="K9" s="277"/>
    </row>
    <row r="10" spans="1:11" ht="26.25" thickBot="1" x14ac:dyDescent="0.25">
      <c r="A10" s="1541" t="str">
        <f>OF!A65</f>
        <v>OF11</v>
      </c>
      <c r="B10" s="262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v>
      </c>
      <c r="H10" s="2271" t="s">
        <v>2186</v>
      </c>
      <c r="I10" s="384" t="s">
        <v>2187</v>
      </c>
      <c r="J10" s="277"/>
      <c r="K10" s="277"/>
    </row>
    <row r="11" spans="1:11" x14ac:dyDescent="0.2">
      <c r="A11" s="1541"/>
      <c r="B11" s="2621"/>
      <c r="C11" s="586" t="str">
        <f>OF!C66</f>
        <v>&lt;10 m.</v>
      </c>
      <c r="D11" s="797">
        <f>OF!D66</f>
        <v>0</v>
      </c>
      <c r="E11" s="76">
        <v>0</v>
      </c>
      <c r="F11" s="76">
        <f t="shared" ref="F11:F16" si="1">D11*E11</f>
        <v>0</v>
      </c>
      <c r="G11" s="260"/>
      <c r="H11" s="2266"/>
      <c r="I11" s="359"/>
      <c r="J11" s="277"/>
      <c r="K11" s="277"/>
    </row>
    <row r="12" spans="1:11" x14ac:dyDescent="0.2">
      <c r="A12" s="1541"/>
      <c r="B12" s="2621"/>
      <c r="C12" s="587" t="str">
        <f>OF!C67</f>
        <v>10 - 25 m.</v>
      </c>
      <c r="D12" s="798">
        <f>OF!D67</f>
        <v>0</v>
      </c>
      <c r="E12" s="76">
        <v>2</v>
      </c>
      <c r="F12" s="76">
        <f t="shared" si="1"/>
        <v>0</v>
      </c>
      <c r="G12" s="261"/>
      <c r="H12" s="2266"/>
      <c r="I12" s="359"/>
      <c r="J12" s="277"/>
      <c r="K12" s="277"/>
    </row>
    <row r="13" spans="1:11" x14ac:dyDescent="0.2">
      <c r="A13" s="1541"/>
      <c r="B13" s="2621"/>
      <c r="C13" s="587" t="str">
        <f>OF!C68</f>
        <v>25 - 50 m.</v>
      </c>
      <c r="D13" s="798">
        <f>OF!D68</f>
        <v>0</v>
      </c>
      <c r="E13" s="76">
        <v>3</v>
      </c>
      <c r="F13" s="76">
        <f t="shared" si="1"/>
        <v>0</v>
      </c>
      <c r="G13" s="261"/>
      <c r="H13" s="2266"/>
      <c r="I13" s="359"/>
      <c r="J13" s="277"/>
      <c r="K13" s="277"/>
    </row>
    <row r="14" spans="1:11" x14ac:dyDescent="0.2">
      <c r="A14" s="1541"/>
      <c r="B14" s="2621"/>
      <c r="C14" s="587" t="str">
        <f>OF!C69</f>
        <v>50 - 100 m.</v>
      </c>
      <c r="D14" s="798">
        <f>OF!D69</f>
        <v>0</v>
      </c>
      <c r="E14" s="76">
        <v>4</v>
      </c>
      <c r="F14" s="76">
        <f t="shared" si="1"/>
        <v>0</v>
      </c>
      <c r="G14" s="261"/>
      <c r="H14" s="2266"/>
      <c r="I14" s="359"/>
      <c r="J14" s="277"/>
      <c r="K14" s="277"/>
    </row>
    <row r="15" spans="1:11" x14ac:dyDescent="0.2">
      <c r="A15" s="1541"/>
      <c r="B15" s="2621"/>
      <c r="C15" s="587" t="str">
        <f>OF!C70</f>
        <v>100 - 500 m.</v>
      </c>
      <c r="D15" s="798">
        <f>OF!D70</f>
        <v>0</v>
      </c>
      <c r="E15" s="76">
        <v>4</v>
      </c>
      <c r="F15" s="76">
        <f t="shared" si="1"/>
        <v>0</v>
      </c>
      <c r="G15" s="261"/>
      <c r="H15" s="2266"/>
      <c r="I15" s="359"/>
      <c r="J15" s="277"/>
      <c r="K15" s="277"/>
    </row>
    <row r="16" spans="1:11" ht="13.5" thickBot="1" x14ac:dyDescent="0.25">
      <c r="A16" s="1541"/>
      <c r="B16" s="2622"/>
      <c r="C16" s="590" t="str">
        <f>OF!C71</f>
        <v>&gt;500 m.</v>
      </c>
      <c r="D16" s="799">
        <f>OF!D71</f>
        <v>0</v>
      </c>
      <c r="E16" s="79">
        <v>6</v>
      </c>
      <c r="F16" s="79">
        <f t="shared" si="1"/>
        <v>0</v>
      </c>
      <c r="G16" s="264"/>
      <c r="H16" s="2267"/>
      <c r="I16" s="335"/>
      <c r="J16" s="277"/>
      <c r="K16" s="277"/>
    </row>
    <row r="17" spans="1:9" ht="26.25" thickBot="1" x14ac:dyDescent="0.25">
      <c r="A17" s="1540" t="str">
        <f>OF!A74</f>
        <v>OF13</v>
      </c>
      <c r="B17" s="2623"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271" t="s">
        <v>2188</v>
      </c>
      <c r="I17" s="384" t="s">
        <v>2189</v>
      </c>
    </row>
    <row r="18" spans="1:9" ht="25.5" x14ac:dyDescent="0.2">
      <c r="A18" s="1199"/>
      <c r="B18" s="262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266"/>
      <c r="I18" s="359"/>
    </row>
    <row r="19" spans="1:9" x14ac:dyDescent="0.2">
      <c r="A19" s="1199"/>
      <c r="B19" s="2621"/>
      <c r="C19" s="586" t="str">
        <f>OF!C76</f>
        <v>&lt;50 m, but completely separated by those features.</v>
      </c>
      <c r="D19" s="797">
        <f>OF!D76</f>
        <v>0</v>
      </c>
      <c r="E19" s="76">
        <v>5</v>
      </c>
      <c r="F19" s="76">
        <f t="shared" si="2"/>
        <v>0</v>
      </c>
      <c r="G19" s="261"/>
      <c r="H19" s="2266"/>
      <c r="I19" s="359"/>
    </row>
    <row r="20" spans="1:9" x14ac:dyDescent="0.2">
      <c r="A20" s="1199"/>
      <c r="B20" s="2621"/>
      <c r="C20" s="586" t="str">
        <f>OF!C77</f>
        <v>50-500 m, and not separated.</v>
      </c>
      <c r="D20" s="797">
        <f>OF!D77</f>
        <v>0</v>
      </c>
      <c r="E20" s="76">
        <v>4</v>
      </c>
      <c r="F20" s="76">
        <f t="shared" si="2"/>
        <v>0</v>
      </c>
      <c r="G20" s="261"/>
      <c r="H20" s="2266"/>
      <c r="I20" s="359"/>
    </row>
    <row r="21" spans="1:9" x14ac:dyDescent="0.2">
      <c r="A21" s="1199"/>
      <c r="B21" s="2621"/>
      <c r="C21" s="586" t="str">
        <f>OF!C78</f>
        <v>50-500 m, but separated by those features.</v>
      </c>
      <c r="D21" s="797">
        <f>OF!D78</f>
        <v>0</v>
      </c>
      <c r="E21" s="76">
        <v>3</v>
      </c>
      <c r="F21" s="76">
        <f t="shared" si="2"/>
        <v>0</v>
      </c>
      <c r="G21" s="261"/>
      <c r="H21" s="2266"/>
      <c r="I21" s="359"/>
    </row>
    <row r="22" spans="1:9" x14ac:dyDescent="0.2">
      <c r="A22" s="1199"/>
      <c r="B22" s="2621"/>
      <c r="C22" s="586" t="str">
        <f>OF!C79</f>
        <v>0.5 - 1 km, and not separated.</v>
      </c>
      <c r="D22" s="797">
        <f>OF!D79</f>
        <v>0</v>
      </c>
      <c r="E22" s="76">
        <v>2</v>
      </c>
      <c r="F22" s="76">
        <f t="shared" si="2"/>
        <v>0</v>
      </c>
      <c r="G22" s="261"/>
      <c r="H22" s="2266"/>
      <c r="I22" s="359"/>
    </row>
    <row r="23" spans="1:9" x14ac:dyDescent="0.2">
      <c r="A23" s="1199"/>
      <c r="B23" s="2621"/>
      <c r="C23" s="586" t="str">
        <f>OF!C80</f>
        <v>0.5 - 1 km, but separated by those features.</v>
      </c>
      <c r="D23" s="797">
        <f>OF!D80</f>
        <v>0</v>
      </c>
      <c r="E23" s="79">
        <v>1</v>
      </c>
      <c r="F23" s="79">
        <f t="shared" si="2"/>
        <v>0</v>
      </c>
      <c r="G23" s="264"/>
      <c r="H23" s="2266"/>
      <c r="I23" s="359"/>
    </row>
    <row r="24" spans="1:9" ht="13.5" thickBot="1" x14ac:dyDescent="0.25">
      <c r="A24" s="1200"/>
      <c r="B24" s="2624"/>
      <c r="C24" s="589" t="str">
        <f>OF!C81</f>
        <v>None of the above (the closest patches or corridors that large are &gt;1 km away).</v>
      </c>
      <c r="D24" s="720">
        <f>OF!D81</f>
        <v>0</v>
      </c>
      <c r="E24" s="77">
        <v>0</v>
      </c>
      <c r="F24" s="77">
        <f t="shared" si="2"/>
        <v>0</v>
      </c>
      <c r="G24" s="262"/>
      <c r="H24" s="2267"/>
      <c r="I24" s="335"/>
    </row>
    <row r="25" spans="1:9" ht="39" thickBot="1" x14ac:dyDescent="0.25">
      <c r="A25" s="1541" t="str">
        <f>OF!A82</f>
        <v>OF14</v>
      </c>
      <c r="B25" s="262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271" t="s">
        <v>2190</v>
      </c>
      <c r="I25" s="384" t="s">
        <v>2191</v>
      </c>
    </row>
    <row r="26" spans="1:9" x14ac:dyDescent="0.2">
      <c r="A26" s="1199"/>
      <c r="B26" s="2621"/>
      <c r="C26" s="586" t="str">
        <f>OF!C83</f>
        <v>&lt;100 m.</v>
      </c>
      <c r="D26" s="797">
        <f>OF!D83</f>
        <v>0</v>
      </c>
      <c r="E26" s="76">
        <v>6</v>
      </c>
      <c r="F26" s="76">
        <f>LakeNear13*E26</f>
        <v>0</v>
      </c>
      <c r="G26" s="260"/>
      <c r="H26" s="2266"/>
      <c r="I26" s="359"/>
    </row>
    <row r="27" spans="1:9" x14ac:dyDescent="0.2">
      <c r="A27" s="1199"/>
      <c r="B27" s="2621"/>
      <c r="C27" s="586" t="str">
        <f>OF!C84</f>
        <v>100 m - 1 km.</v>
      </c>
      <c r="D27" s="797">
        <f>OF!D84</f>
        <v>0</v>
      </c>
      <c r="E27" s="76">
        <v>5</v>
      </c>
      <c r="F27" s="76">
        <f>LakeNear13*E27</f>
        <v>0</v>
      </c>
      <c r="G27" s="260"/>
      <c r="H27" s="2266"/>
      <c r="I27" s="359"/>
    </row>
    <row r="28" spans="1:9" x14ac:dyDescent="0.2">
      <c r="A28" s="1199"/>
      <c r="B28" s="2621"/>
      <c r="C28" s="586" t="str">
        <f>OF!C85</f>
        <v>1 -2 km.</v>
      </c>
      <c r="D28" s="797">
        <f>OF!D85</f>
        <v>0</v>
      </c>
      <c r="E28" s="76">
        <v>4</v>
      </c>
      <c r="F28" s="76">
        <f>LakeNear13*E28</f>
        <v>0</v>
      </c>
      <c r="G28" s="260"/>
      <c r="H28" s="2266"/>
      <c r="I28" s="359"/>
    </row>
    <row r="29" spans="1:9" x14ac:dyDescent="0.2">
      <c r="A29" s="1199"/>
      <c r="B29" s="2621"/>
      <c r="C29" s="586" t="str">
        <f>OF!C86</f>
        <v>2-5 km.</v>
      </c>
      <c r="D29" s="797">
        <f>OF!D86</f>
        <v>0</v>
      </c>
      <c r="E29" s="76">
        <v>3</v>
      </c>
      <c r="F29" s="76">
        <f>LakeNear13*E29</f>
        <v>0</v>
      </c>
      <c r="G29" s="260"/>
      <c r="H29" s="2266"/>
      <c r="I29" s="359"/>
    </row>
    <row r="30" spans="1:9" x14ac:dyDescent="0.2">
      <c r="A30" s="1199"/>
      <c r="B30" s="2621"/>
      <c r="C30" s="586" t="str">
        <f>OF!C87</f>
        <v>5-10 km.</v>
      </c>
      <c r="D30" s="797">
        <f>OF!D87</f>
        <v>0</v>
      </c>
      <c r="E30" s="76">
        <v>2</v>
      </c>
      <c r="F30" s="76">
        <f>D30*E30</f>
        <v>0</v>
      </c>
      <c r="G30" s="261"/>
      <c r="H30" s="2266"/>
      <c r="I30" s="359"/>
    </row>
    <row r="31" spans="1:9" ht="13.5" thickBot="1" x14ac:dyDescent="0.25">
      <c r="A31" s="1199"/>
      <c r="B31" s="2622"/>
      <c r="C31" s="595" t="str">
        <f>OF!C88</f>
        <v>&gt;10 km.</v>
      </c>
      <c r="D31" s="818">
        <f>OF!D88</f>
        <v>0</v>
      </c>
      <c r="E31" s="79">
        <v>0</v>
      </c>
      <c r="F31" s="79">
        <f>D31*E31</f>
        <v>0</v>
      </c>
      <c r="G31" s="264"/>
      <c r="H31" s="2267"/>
      <c r="I31" s="335"/>
    </row>
    <row r="32" spans="1:9" ht="39" thickBot="1" x14ac:dyDescent="0.25">
      <c r="A32" s="1193" t="str">
        <f>OF!A111</f>
        <v>OF20</v>
      </c>
      <c r="B32" s="250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v>
      </c>
      <c r="H32" s="2271" t="s">
        <v>2192</v>
      </c>
      <c r="I32" s="384" t="s">
        <v>2193</v>
      </c>
    </row>
    <row r="33" spans="1:9" x14ac:dyDescent="0.2">
      <c r="A33" s="1199"/>
      <c r="B33" s="2506"/>
      <c r="C33" s="2" t="str">
        <f>OF!C112</f>
        <v>The condition is present within the AA.</v>
      </c>
      <c r="D33" s="818">
        <f>OF!D112</f>
        <v>0</v>
      </c>
      <c r="E33" s="93"/>
      <c r="F33" s="93"/>
      <c r="G33" s="191"/>
      <c r="H33" s="2266"/>
      <c r="I33" s="359"/>
    </row>
    <row r="34" spans="1:9" ht="25.5" x14ac:dyDescent="0.2">
      <c r="A34" s="1199"/>
      <c r="B34" s="2506"/>
      <c r="C34" s="151" t="str">
        <f>OF!C113</f>
        <v>The condition is present in waters within 1 km that flow into the AA, but has not been documented in the AA itself.</v>
      </c>
      <c r="D34" s="799">
        <f>OF!D113</f>
        <v>0</v>
      </c>
      <c r="E34" s="93"/>
      <c r="F34" s="93"/>
      <c r="G34" s="192"/>
      <c r="H34" s="2266"/>
      <c r="I34" s="359"/>
    </row>
    <row r="35" spans="1:9" ht="25.5" x14ac:dyDescent="0.2">
      <c r="A35" s="1199"/>
      <c r="B35" s="2506"/>
      <c r="C35" s="151" t="str">
        <f>OF!C114</f>
        <v>Sampling during both low water periods and times with high runoff (storms, snowmelt) indicates no problems in either the AA or inflowing waters.</v>
      </c>
      <c r="D35" s="799">
        <f>OF!D114</f>
        <v>0</v>
      </c>
      <c r="E35" s="93"/>
      <c r="F35" s="93"/>
      <c r="G35" s="192"/>
      <c r="H35" s="2266"/>
      <c r="I35" s="359"/>
    </row>
    <row r="36" spans="1:9" ht="26.25" thickBot="1" x14ac:dyDescent="0.25">
      <c r="A36" s="1200"/>
      <c r="B36" s="2507"/>
      <c r="C36" s="249" t="str">
        <f>OF!C115</f>
        <v>Data are insufficient (no or inadequate sampling within 1 km, or condition exists only at &gt;1 km upstream). This is the situation for nearly all wetlands in this region.</v>
      </c>
      <c r="D36" s="817">
        <f>OF!D115</f>
        <v>0</v>
      </c>
      <c r="E36" s="97"/>
      <c r="F36" s="97"/>
      <c r="G36" s="193"/>
      <c r="H36" s="2267"/>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1</v>
      </c>
      <c r="E38" s="89"/>
      <c r="F38" s="83"/>
      <c r="G38" s="1431">
        <f>IF((D38=""),"", D38/3)</f>
        <v>0.33333333333333331</v>
      </c>
      <c r="H38" s="290" t="s">
        <v>8743</v>
      </c>
      <c r="I38" s="265" t="s">
        <v>2194</v>
      </c>
    </row>
    <row r="39" spans="1:9" s="17" customFormat="1" ht="26.25" thickBot="1" x14ac:dyDescent="0.25">
      <c r="A39" s="2629" t="str">
        <f>F!A5</f>
        <v>F1</v>
      </c>
      <c r="B39" s="2623"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271" t="s">
        <v>8938</v>
      </c>
      <c r="I39" s="283" t="s">
        <v>2195</v>
      </c>
    </row>
    <row r="40" spans="1:9" s="17" customFormat="1" ht="63.75" x14ac:dyDescent="0.2">
      <c r="A40" s="2630"/>
      <c r="B40" s="262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266"/>
      <c r="I40" s="64"/>
    </row>
    <row r="41" spans="1:9" s="17" customFormat="1" ht="76.5" x14ac:dyDescent="0.2">
      <c r="A41" s="2630"/>
      <c r="B41" s="262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266"/>
      <c r="I41" s="64"/>
    </row>
    <row r="42" spans="1:9" s="17" customFormat="1" ht="51" x14ac:dyDescent="0.2">
      <c r="A42" s="2630"/>
      <c r="B42" s="262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266"/>
      <c r="I42" s="64"/>
    </row>
    <row r="43" spans="1:9" s="17" customFormat="1" ht="38.25" x14ac:dyDescent="0.2">
      <c r="A43" s="2630"/>
      <c r="B43" s="262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266"/>
      <c r="I43" s="64"/>
    </row>
    <row r="44" spans="1:9" ht="38.25" x14ac:dyDescent="0.2">
      <c r="A44" s="2630"/>
      <c r="B44" s="262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266"/>
      <c r="I44" s="64"/>
    </row>
    <row r="45" spans="1:9" ht="51.75" thickBot="1" x14ac:dyDescent="0.25">
      <c r="A45" s="2631"/>
      <c r="B45" s="2624"/>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267"/>
      <c r="I45" s="282"/>
    </row>
    <row r="46" spans="1:9" ht="39" thickBot="1" x14ac:dyDescent="0.25">
      <c r="A46" s="2630" t="str">
        <f>F!A33</f>
        <v>F5</v>
      </c>
      <c r="B46" s="262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266" t="s">
        <v>2196</v>
      </c>
      <c r="I46" s="359" t="s">
        <v>2197</v>
      </c>
    </row>
    <row r="47" spans="1:9" x14ac:dyDescent="0.2">
      <c r="A47" s="2630"/>
      <c r="B47" s="2621"/>
      <c r="C47" s="586" t="str">
        <f>F!C34</f>
        <v>coniferous, 1-9 cm diameter and &gt;1 m tall.</v>
      </c>
      <c r="D47" s="797">
        <f>F!D34</f>
        <v>0</v>
      </c>
      <c r="E47" s="93">
        <v>0</v>
      </c>
      <c r="F47" s="76">
        <f t="shared" ref="F47:F54" si="3">D47*E47</f>
        <v>0</v>
      </c>
      <c r="G47" s="260"/>
      <c r="H47" s="2266"/>
      <c r="I47" s="359"/>
    </row>
    <row r="48" spans="1:9" x14ac:dyDescent="0.2">
      <c r="A48" s="2630"/>
      <c r="B48" s="2621"/>
      <c r="C48" s="587" t="str">
        <f>F!C35</f>
        <v>broad-leaved deciduous 1-9 cm diameter and &gt;1 m tall.</v>
      </c>
      <c r="D48" s="798">
        <f>F!D35</f>
        <v>0</v>
      </c>
      <c r="E48" s="93">
        <v>0</v>
      </c>
      <c r="F48" s="76">
        <f t="shared" si="3"/>
        <v>0</v>
      </c>
      <c r="G48" s="261"/>
      <c r="H48" s="2266"/>
      <c r="I48" s="359"/>
    </row>
    <row r="49" spans="1:72" x14ac:dyDescent="0.2">
      <c r="A49" s="2630"/>
      <c r="B49" s="2621"/>
      <c r="C49" s="587" t="str">
        <f>F!C36</f>
        <v>coniferous, 10-19 cm diameter.</v>
      </c>
      <c r="D49" s="798">
        <f>F!D36</f>
        <v>0</v>
      </c>
      <c r="E49" s="93">
        <v>0</v>
      </c>
      <c r="F49" s="76">
        <f t="shared" si="3"/>
        <v>0</v>
      </c>
      <c r="G49" s="261"/>
      <c r="H49" s="2266"/>
      <c r="I49" s="359"/>
    </row>
    <row r="50" spans="1:72" x14ac:dyDescent="0.2">
      <c r="A50" s="2630"/>
      <c r="B50" s="2621"/>
      <c r="C50" s="587" t="str">
        <f>F!C37</f>
        <v>broad-leaved deciduous 10-19 cm diameter.</v>
      </c>
      <c r="D50" s="798">
        <f>F!D37</f>
        <v>0</v>
      </c>
      <c r="E50" s="93">
        <v>0</v>
      </c>
      <c r="F50" s="76">
        <f t="shared" si="3"/>
        <v>0</v>
      </c>
      <c r="G50" s="261"/>
      <c r="H50" s="2266"/>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30"/>
      <c r="B51" s="2621"/>
      <c r="C51" s="587" t="str">
        <f>F!C38</f>
        <v>coniferous, 20-40 cm diameter.</v>
      </c>
      <c r="D51" s="798">
        <f>F!D38</f>
        <v>0</v>
      </c>
      <c r="E51" s="93">
        <v>2</v>
      </c>
      <c r="F51" s="76">
        <f t="shared" si="3"/>
        <v>0</v>
      </c>
      <c r="G51" s="261"/>
      <c r="H51" s="2266"/>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30"/>
      <c r="B52" s="2621"/>
      <c r="C52" s="587" t="str">
        <f>F!C39</f>
        <v>broad-leaved deciduous 20-40 cm diameter.</v>
      </c>
      <c r="D52" s="798">
        <f>F!D39</f>
        <v>0</v>
      </c>
      <c r="E52" s="93">
        <v>2</v>
      </c>
      <c r="F52" s="76">
        <f t="shared" si="3"/>
        <v>0</v>
      </c>
      <c r="G52" s="261"/>
      <c r="H52" s="2266"/>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30"/>
      <c r="B53" s="2621"/>
      <c r="C53" s="587" t="str">
        <f>F!C40</f>
        <v>coniferous, &gt;40 cm diameter.</v>
      </c>
      <c r="D53" s="798">
        <f>F!D40</f>
        <v>0</v>
      </c>
      <c r="E53" s="93">
        <v>3</v>
      </c>
      <c r="F53" s="76">
        <f t="shared" si="3"/>
        <v>0</v>
      </c>
      <c r="G53" s="261"/>
      <c r="H53" s="2266"/>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30"/>
      <c r="B54" s="2622"/>
      <c r="C54" s="590" t="str">
        <f>F!C41</f>
        <v>broad-leaved deciduous &gt;40 cm diameter.</v>
      </c>
      <c r="D54" s="799">
        <f>F!D41</f>
        <v>0</v>
      </c>
      <c r="E54" s="95">
        <v>3</v>
      </c>
      <c r="F54" s="96">
        <f t="shared" si="3"/>
        <v>0</v>
      </c>
      <c r="G54" s="264"/>
      <c r="H54" s="2267"/>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29" t="str">
        <f>F!A49</f>
        <v>F7</v>
      </c>
      <c r="B55" s="2623"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v>
      </c>
      <c r="H55" s="2271"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30"/>
      <c r="B56" s="2621"/>
      <c r="C56" s="586" t="str">
        <f>F!C50</f>
        <v>&lt;5% of the vegetated part of the AA or &lt;0.01 hectare (whichever is less). Mark "1" here and SKIP to F11 (Invasive Plant Cover).</v>
      </c>
      <c r="D56" s="797">
        <f>F!D50</f>
        <v>0</v>
      </c>
      <c r="E56" s="76">
        <v>0</v>
      </c>
      <c r="F56" s="76">
        <f>D56*E56</f>
        <v>0</v>
      </c>
      <c r="G56" s="260"/>
      <c r="H56" s="2266"/>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30"/>
      <c r="B57" s="2621"/>
      <c r="C57" s="587" t="str">
        <f>F!C51</f>
        <v>5-25% of the vegetated part of the AA.</v>
      </c>
      <c r="D57" s="798">
        <f>F!D51</f>
        <v>0</v>
      </c>
      <c r="E57" s="76">
        <v>2</v>
      </c>
      <c r="F57" s="76">
        <f>D57*E57</f>
        <v>0</v>
      </c>
      <c r="G57" s="261"/>
      <c r="H57" s="2266"/>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30"/>
      <c r="B58" s="2621"/>
      <c r="C58" s="587" t="str">
        <f>F!C52</f>
        <v>25-50% of the vegetated part of the AA.</v>
      </c>
      <c r="D58" s="798">
        <f>F!D52</f>
        <v>0</v>
      </c>
      <c r="E58" s="76">
        <v>3</v>
      </c>
      <c r="F58" s="76">
        <f>D58*E58</f>
        <v>0</v>
      </c>
      <c r="G58" s="261"/>
      <c r="H58" s="2266"/>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30"/>
      <c r="B59" s="2621"/>
      <c r="C59" s="587" t="str">
        <f>F!C53</f>
        <v>50-95% of the vegetated part of the AA.</v>
      </c>
      <c r="D59" s="798">
        <f>F!D53</f>
        <v>0</v>
      </c>
      <c r="E59" s="76">
        <v>4</v>
      </c>
      <c r="F59" s="76">
        <f>D59*E59</f>
        <v>0</v>
      </c>
      <c r="G59" s="261"/>
      <c r="H59" s="2266"/>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31"/>
      <c r="B60" s="2624"/>
      <c r="C60" s="588" t="str">
        <f>F!C54</f>
        <v>&gt;95% of the vegetated part of the AA.</v>
      </c>
      <c r="D60" s="817">
        <f>F!D54</f>
        <v>0</v>
      </c>
      <c r="E60" s="77">
        <v>5</v>
      </c>
      <c r="F60" s="77">
        <f>D60*E60</f>
        <v>0</v>
      </c>
      <c r="G60" s="262"/>
      <c r="H60" s="2267"/>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30" t="str">
        <f>F!A63</f>
        <v>F9</v>
      </c>
      <c r="B61" s="262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0</v>
      </c>
      <c r="H61" s="2266"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30"/>
      <c r="B62" s="2621"/>
      <c r="C62" s="586" t="str">
        <f>F!C64</f>
        <v>&lt;1% of the herbaceous vegetation, or herbaceous vegetation is absent.</v>
      </c>
      <c r="D62" s="797">
        <f>F!D64</f>
        <v>0</v>
      </c>
      <c r="E62" s="76">
        <v>0</v>
      </c>
      <c r="F62" s="76">
        <f>D62*E62</f>
        <v>0</v>
      </c>
      <c r="G62" s="261"/>
      <c r="H62" s="2266"/>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30"/>
      <c r="B63" s="2621"/>
      <c r="C63" s="587" t="str">
        <f>F!C65</f>
        <v>1-25% of the herbaceous vegetation.</v>
      </c>
      <c r="D63" s="798">
        <f>F!D65</f>
        <v>0</v>
      </c>
      <c r="E63" s="76">
        <v>3</v>
      </c>
      <c r="F63" s="76">
        <f>D63*E63</f>
        <v>0</v>
      </c>
      <c r="G63" s="261"/>
      <c r="H63" s="2266"/>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30"/>
      <c r="B64" s="2621"/>
      <c r="C64" s="587" t="str">
        <f>F!C66</f>
        <v>25-75% of the herbaceous vegetation.</v>
      </c>
      <c r="D64" s="798">
        <f>F!D66</f>
        <v>0</v>
      </c>
      <c r="E64" s="76">
        <v>4</v>
      </c>
      <c r="F64" s="76">
        <f>D64*E64</f>
        <v>0</v>
      </c>
      <c r="G64" s="261"/>
      <c r="H64" s="2266"/>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30"/>
      <c r="B65" s="2622"/>
      <c r="C65" s="590" t="str">
        <f>F!C67</f>
        <v>&gt;75%, of the herbaceous vegetation.</v>
      </c>
      <c r="D65" s="799">
        <f>F!D67</f>
        <v>0</v>
      </c>
      <c r="E65" s="79">
        <v>2</v>
      </c>
      <c r="F65" s="79">
        <f>D65*E65</f>
        <v>0</v>
      </c>
      <c r="G65" s="264"/>
      <c r="H65" s="2267"/>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29" t="str">
        <f>F!A98</f>
        <v>F15</v>
      </c>
      <c r="B66" s="2623"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271" t="s">
        <v>8940</v>
      </c>
      <c r="I66" s="384" t="s">
        <v>2200</v>
      </c>
    </row>
    <row r="67" spans="1:72" x14ac:dyDescent="0.2">
      <c r="A67" s="2630"/>
      <c r="B67" s="2621"/>
      <c r="C67" s="586" t="str">
        <f>F!C99</f>
        <v>None, or fewer than 8/ hectare which exceed this diameter.</v>
      </c>
      <c r="D67" s="797">
        <f>F!D99</f>
        <v>0</v>
      </c>
      <c r="E67" s="93">
        <v>0</v>
      </c>
      <c r="F67" s="76">
        <f>D67*E67</f>
        <v>0</v>
      </c>
      <c r="G67" s="260"/>
      <c r="H67" s="2266"/>
      <c r="I67" s="359"/>
    </row>
    <row r="68" spans="1:72" ht="25.5" x14ac:dyDescent="0.2">
      <c r="A68" s="2630"/>
      <c r="B68" s="2621"/>
      <c r="C68" s="587" t="str">
        <f>F!C100</f>
        <v>Several ( &gt;8/hectare) and a pond, lake, or slow-flowing water wider than 10 m is within 1 km.</v>
      </c>
      <c r="D68" s="798">
        <f>F!D100</f>
        <v>0</v>
      </c>
      <c r="E68" s="93">
        <v>3</v>
      </c>
      <c r="F68" s="76">
        <f>D68*E68</f>
        <v>0</v>
      </c>
      <c r="G68" s="260"/>
      <c r="H68" s="2266"/>
      <c r="I68" s="359"/>
    </row>
    <row r="69" spans="1:72" ht="13.5" thickBot="1" x14ac:dyDescent="0.25">
      <c r="A69" s="2631"/>
      <c r="B69" s="2624"/>
      <c r="C69" s="588" t="str">
        <f>F!C101</f>
        <v>Several ( &gt;8/hectare) but above not true.</v>
      </c>
      <c r="D69" s="817">
        <f>F!D101</f>
        <v>0</v>
      </c>
      <c r="E69" s="97">
        <v>2</v>
      </c>
      <c r="F69" s="77">
        <f>D69*E69</f>
        <v>0</v>
      </c>
      <c r="G69" s="262"/>
      <c r="H69" s="2267"/>
      <c r="I69" s="335"/>
    </row>
    <row r="70" spans="1:72" s="17" customFormat="1" ht="31.5" customHeight="1" thickBot="1" x14ac:dyDescent="0.25">
      <c r="A70" s="2284" t="str">
        <f>F!A135</f>
        <v>F22</v>
      </c>
      <c r="B70" s="2511"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v>
      </c>
      <c r="H70" s="2271" t="s">
        <v>2201</v>
      </c>
      <c r="I70" s="384" t="s">
        <v>2202</v>
      </c>
    </row>
    <row r="71" spans="1:72" x14ac:dyDescent="0.2">
      <c r="A71" s="2284"/>
      <c r="B71" s="2512"/>
      <c r="C71" s="594" t="str">
        <f>F!C136</f>
        <v xml:space="preserve">None, or &lt;0.01 hectare and &lt;1% of the AA. </v>
      </c>
      <c r="D71" s="448">
        <f>F!D136</f>
        <v>0</v>
      </c>
      <c r="E71" s="76">
        <v>4</v>
      </c>
      <c r="F71" s="76">
        <f>D71*E71</f>
        <v>0</v>
      </c>
      <c r="G71" s="260"/>
      <c r="H71" s="2266"/>
      <c r="I71" s="359"/>
    </row>
    <row r="72" spans="1:72" x14ac:dyDescent="0.2">
      <c r="A72" s="2284"/>
      <c r="B72" s="2512"/>
      <c r="C72" s="594" t="str">
        <f>F!C137</f>
        <v>1-20% of the AA, or &lt;1% but &gt;0.01 ha.</v>
      </c>
      <c r="D72" s="448">
        <f>F!D137</f>
        <v>0</v>
      </c>
      <c r="E72" s="76">
        <v>5</v>
      </c>
      <c r="F72" s="76">
        <f>D72*E72</f>
        <v>0</v>
      </c>
      <c r="G72" s="261"/>
      <c r="H72" s="2266"/>
      <c r="I72" s="359"/>
    </row>
    <row r="73" spans="1:72" x14ac:dyDescent="0.2">
      <c r="A73" s="2284"/>
      <c r="B73" s="2512"/>
      <c r="C73" s="594" t="str">
        <f>F!C138</f>
        <v>20-50% of the AA.</v>
      </c>
      <c r="D73" s="448">
        <f>F!D138</f>
        <v>0</v>
      </c>
      <c r="E73" s="76">
        <v>3</v>
      </c>
      <c r="F73" s="76">
        <f>D73*E73</f>
        <v>0</v>
      </c>
      <c r="G73" s="261"/>
      <c r="H73" s="2266"/>
      <c r="I73" s="359"/>
    </row>
    <row r="74" spans="1:72" x14ac:dyDescent="0.2">
      <c r="A74" s="2284"/>
      <c r="B74" s="2512"/>
      <c r="C74" s="594" t="str">
        <f>F!C139</f>
        <v>50-95% of the AA.</v>
      </c>
      <c r="D74" s="448">
        <f>F!D139</f>
        <v>0</v>
      </c>
      <c r="E74" s="76">
        <v>2</v>
      </c>
      <c r="F74" s="76">
        <f>D74*E74</f>
        <v>0</v>
      </c>
      <c r="G74" s="261"/>
      <c r="H74" s="2266"/>
      <c r="I74" s="359"/>
    </row>
    <row r="75" spans="1:72" ht="13.5" thickBot="1" x14ac:dyDescent="0.25">
      <c r="A75" s="2284"/>
      <c r="B75" s="2513"/>
      <c r="C75" s="591" t="str">
        <f>F!C140</f>
        <v xml:space="preserve">&gt;95% of the AA. </v>
      </c>
      <c r="D75" s="1443">
        <f>F!D140</f>
        <v>0</v>
      </c>
      <c r="E75" s="79">
        <v>1</v>
      </c>
      <c r="F75" s="79">
        <f>D75*E75</f>
        <v>0</v>
      </c>
      <c r="G75" s="264"/>
      <c r="H75" s="2267"/>
      <c r="I75" s="335"/>
    </row>
    <row r="76" spans="1:72" ht="64.5" customHeight="1" thickBot="1" x14ac:dyDescent="0.25">
      <c r="A76" s="2629" t="str">
        <f>F!A142</f>
        <v>F23</v>
      </c>
      <c r="B76" s="2623"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0</v>
      </c>
      <c r="H76" s="2271" t="s">
        <v>2203</v>
      </c>
      <c r="I76" s="283" t="s">
        <v>2204</v>
      </c>
    </row>
    <row r="77" spans="1:72" x14ac:dyDescent="0.2">
      <c r="A77" s="2630"/>
      <c r="B77" s="2621"/>
      <c r="C77" s="587" t="str">
        <f>F!C143</f>
        <v>None or trace.</v>
      </c>
      <c r="D77" s="448">
        <f>F!D143</f>
        <v>0</v>
      </c>
      <c r="E77" s="75">
        <v>1</v>
      </c>
      <c r="F77" s="76">
        <f>D77*E77</f>
        <v>0</v>
      </c>
      <c r="G77" s="261"/>
      <c r="H77" s="2266"/>
      <c r="I77" s="64"/>
    </row>
    <row r="78" spans="1:72" x14ac:dyDescent="0.2">
      <c r="A78" s="2630"/>
      <c r="B78" s="2621"/>
      <c r="C78" s="587" t="str">
        <f>F!C144</f>
        <v>1-20% of the AA.</v>
      </c>
      <c r="D78" s="448">
        <f>F!D144</f>
        <v>0</v>
      </c>
      <c r="E78" s="75">
        <v>2</v>
      </c>
      <c r="F78" s="76">
        <f>D78*E78</f>
        <v>0</v>
      </c>
      <c r="G78" s="261"/>
      <c r="H78" s="2266"/>
      <c r="I78" s="64"/>
    </row>
    <row r="79" spans="1:72" x14ac:dyDescent="0.2">
      <c r="A79" s="2630"/>
      <c r="B79" s="2621"/>
      <c r="C79" s="587" t="str">
        <f>F!C145</f>
        <v>20-50% of the AA.</v>
      </c>
      <c r="D79" s="448">
        <f>F!D145</f>
        <v>0</v>
      </c>
      <c r="E79" s="76">
        <v>3</v>
      </c>
      <c r="F79" s="76">
        <f>D79*E79</f>
        <v>0</v>
      </c>
      <c r="G79" s="261"/>
      <c r="H79" s="2266"/>
      <c r="I79" s="64"/>
    </row>
    <row r="80" spans="1:72" s="17" customFormat="1" x14ac:dyDescent="0.2">
      <c r="A80" s="2630"/>
      <c r="B80" s="2621"/>
      <c r="C80" s="587" t="str">
        <f>F!C146</f>
        <v>50-95% of the AA.</v>
      </c>
      <c r="D80" s="448">
        <f>F!D146</f>
        <v>0</v>
      </c>
      <c r="E80" s="76">
        <v>4</v>
      </c>
      <c r="F80" s="76">
        <f>D80*E80</f>
        <v>0</v>
      </c>
      <c r="G80" s="261"/>
      <c r="H80" s="2266"/>
      <c r="I80" s="64"/>
    </row>
    <row r="81" spans="1:9" s="17" customFormat="1" ht="13.5" thickBot="1" x14ac:dyDescent="0.25">
      <c r="A81" s="2631"/>
      <c r="B81" s="2624"/>
      <c r="C81" s="588" t="str">
        <f>F!C147</f>
        <v>&gt;95% of the AA. True for many fringe wetlands.</v>
      </c>
      <c r="D81" s="449">
        <f>F!D147</f>
        <v>0</v>
      </c>
      <c r="E81" s="77">
        <v>3</v>
      </c>
      <c r="F81" s="77">
        <f>D81*E81</f>
        <v>0</v>
      </c>
      <c r="G81" s="262"/>
      <c r="H81" s="2267"/>
      <c r="I81" s="282"/>
    </row>
    <row r="82" spans="1:9" s="17" customFormat="1" ht="26.25" thickBot="1" x14ac:dyDescent="0.25">
      <c r="A82" s="2630" t="str">
        <f>F!A149</f>
        <v>F24</v>
      </c>
      <c r="B82" s="262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271" t="s">
        <v>2205</v>
      </c>
      <c r="I82" s="283" t="s">
        <v>2206</v>
      </c>
    </row>
    <row r="83" spans="1:9" s="17" customFormat="1" ht="25.5" x14ac:dyDescent="0.2">
      <c r="A83" s="2630"/>
      <c r="B83" s="2621"/>
      <c r="C83" s="587" t="str">
        <f>F!C150</f>
        <v xml:space="preserve">&lt;1% . In other words, all or nearly all of the AA is covered by water permanently or at least seasonally.  </v>
      </c>
      <c r="D83" s="448">
        <f>F!D150</f>
        <v>0</v>
      </c>
      <c r="E83" s="76">
        <v>4</v>
      </c>
      <c r="F83" s="76">
        <f t="shared" ref="F83:F88" si="4">D83*E83</f>
        <v>0</v>
      </c>
      <c r="G83" s="211"/>
      <c r="H83" s="2266"/>
      <c r="I83" s="64"/>
    </row>
    <row r="84" spans="1:9" s="17" customFormat="1" x14ac:dyDescent="0.2">
      <c r="A84" s="2630"/>
      <c r="B84" s="2621"/>
      <c r="C84" s="587" t="str">
        <f>F!C151</f>
        <v>1-25% of the AA,  or &lt;1% but &gt;0.01 ha never contains surface water.</v>
      </c>
      <c r="D84" s="448">
        <f>F!D151</f>
        <v>0</v>
      </c>
      <c r="E84" s="76">
        <v>5</v>
      </c>
      <c r="F84" s="76">
        <f t="shared" si="4"/>
        <v>0</v>
      </c>
      <c r="G84" s="211"/>
      <c r="H84" s="2266"/>
      <c r="I84" s="64"/>
    </row>
    <row r="85" spans="1:9" s="17" customFormat="1" x14ac:dyDescent="0.2">
      <c r="A85" s="2630"/>
      <c r="B85" s="2621"/>
      <c r="C85" s="587" t="str">
        <f>F!C152</f>
        <v>25-50% of the AA never contains surface water.</v>
      </c>
      <c r="D85" s="448">
        <f>F!D152</f>
        <v>0</v>
      </c>
      <c r="E85" s="76">
        <v>3</v>
      </c>
      <c r="F85" s="76">
        <f t="shared" si="4"/>
        <v>0</v>
      </c>
      <c r="G85" s="211"/>
      <c r="H85" s="2266"/>
      <c r="I85" s="64"/>
    </row>
    <row r="86" spans="1:9" s="17" customFormat="1" x14ac:dyDescent="0.2">
      <c r="A86" s="2630"/>
      <c r="B86" s="2621"/>
      <c r="C86" s="587" t="str">
        <f>F!C153</f>
        <v>50-75% of the AA never contains surface water.</v>
      </c>
      <c r="D86" s="448">
        <f>F!D153</f>
        <v>0</v>
      </c>
      <c r="E86" s="76">
        <v>2</v>
      </c>
      <c r="F86" s="76">
        <f t="shared" si="4"/>
        <v>0</v>
      </c>
      <c r="G86" s="211"/>
      <c r="H86" s="2266"/>
      <c r="I86" s="64"/>
    </row>
    <row r="87" spans="1:9" ht="25.5" x14ac:dyDescent="0.2">
      <c r="A87" s="2630"/>
      <c r="B87" s="262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266"/>
      <c r="I87" s="64"/>
    </row>
    <row r="88" spans="1:9" ht="26.25" thickBot="1" x14ac:dyDescent="0.25">
      <c r="A88" s="2630"/>
      <c r="B88" s="2622"/>
      <c r="C88" s="590" t="str">
        <f>F!C155</f>
        <v>&gt; 99%. AND during most years there is never more than 0.1 ha of ponded surface water within the AA. Enter "1" and SKIP to F43 (Channel Connection).</v>
      </c>
      <c r="D88" s="1443">
        <f>F!D155</f>
        <v>0</v>
      </c>
      <c r="E88" s="79">
        <v>0</v>
      </c>
      <c r="F88" s="79">
        <f t="shared" si="4"/>
        <v>0</v>
      </c>
      <c r="G88" s="211"/>
      <c r="H88" s="2267"/>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f>IF((AllSat1&gt;0),"",IF((NoPersis=1),"", D89))</f>
        <v>0</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23"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271" t="s">
        <v>2210</v>
      </c>
      <c r="I91" s="384" t="s">
        <v>2211</v>
      </c>
    </row>
    <row r="92" spans="1:9" x14ac:dyDescent="0.2">
      <c r="A92" s="1151"/>
      <c r="B92" s="2621"/>
      <c r="C92" s="586" t="str">
        <f>F!C169</f>
        <v>&lt;10 cm change (stable or nearly so).</v>
      </c>
      <c r="D92" s="797">
        <f>F!D169</f>
        <v>0</v>
      </c>
      <c r="E92" s="76">
        <v>0</v>
      </c>
      <c r="F92" s="76">
        <f>D92*E92</f>
        <v>0</v>
      </c>
      <c r="G92" s="260"/>
      <c r="H92" s="2266"/>
      <c r="I92" s="359"/>
    </row>
    <row r="93" spans="1:9" x14ac:dyDescent="0.2">
      <c r="A93" s="1151"/>
      <c r="B93" s="2621"/>
      <c r="C93" s="587" t="str">
        <f>F!C170</f>
        <v>10 cm - 50 cm change.</v>
      </c>
      <c r="D93" s="798">
        <f>F!D170</f>
        <v>0</v>
      </c>
      <c r="E93" s="76">
        <v>3</v>
      </c>
      <c r="F93" s="76">
        <f>D93*E93</f>
        <v>0</v>
      </c>
      <c r="G93" s="261"/>
      <c r="H93" s="2266"/>
      <c r="I93" s="359"/>
    </row>
    <row r="94" spans="1:9" x14ac:dyDescent="0.2">
      <c r="A94" s="1151"/>
      <c r="B94" s="2621"/>
      <c r="C94" s="587" t="str">
        <f>F!C171</f>
        <v>0.5 - 1 m change.</v>
      </c>
      <c r="D94" s="798">
        <f>F!D171</f>
        <v>0</v>
      </c>
      <c r="E94" s="76">
        <v>2</v>
      </c>
      <c r="F94" s="76">
        <f>D94*E94</f>
        <v>0</v>
      </c>
      <c r="G94" s="261"/>
      <c r="H94" s="2266"/>
      <c r="I94" s="359"/>
    </row>
    <row r="95" spans="1:9" x14ac:dyDescent="0.2">
      <c r="A95" s="1151"/>
      <c r="B95" s="2621"/>
      <c r="C95" s="587" t="str">
        <f>F!C172</f>
        <v>1-2 m change.</v>
      </c>
      <c r="D95" s="798">
        <f>F!D172</f>
        <v>0</v>
      </c>
      <c r="E95" s="79">
        <v>1</v>
      </c>
      <c r="F95" s="79">
        <f>D95*E95</f>
        <v>0</v>
      </c>
      <c r="G95" s="264"/>
      <c r="H95" s="2266"/>
      <c r="I95" s="359"/>
    </row>
    <row r="96" spans="1:9" ht="13.5" thickBot="1" x14ac:dyDescent="0.25">
      <c r="A96" s="1152"/>
      <c r="B96" s="2624"/>
      <c r="C96" s="588" t="str">
        <f>F!C173</f>
        <v>&gt;2 m change.</v>
      </c>
      <c r="D96" s="817">
        <f>F!D173</f>
        <v>0</v>
      </c>
      <c r="E96" s="77">
        <v>0</v>
      </c>
      <c r="F96" s="77">
        <f>D96*E96</f>
        <v>0</v>
      </c>
      <c r="G96" s="262"/>
      <c r="H96" s="2267"/>
      <c r="I96" s="335"/>
    </row>
    <row r="97" spans="1:9" ht="26.25" thickBot="1" x14ac:dyDescent="0.25">
      <c r="A97" s="1563" t="str">
        <f>F!A175</f>
        <v>F29</v>
      </c>
      <c r="B97" s="262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v>
      </c>
      <c r="H97" s="2271" t="s">
        <v>2212</v>
      </c>
      <c r="I97" s="384" t="s">
        <v>2213</v>
      </c>
    </row>
    <row r="98" spans="1:9" x14ac:dyDescent="0.2">
      <c r="A98" s="1151"/>
      <c r="B98" s="2621"/>
      <c r="C98" s="586" t="str">
        <f>F!C176</f>
        <v>&lt;10 cm deep (but &gt;0).</v>
      </c>
      <c r="D98" s="797">
        <f>F!D176</f>
        <v>0</v>
      </c>
      <c r="E98" s="76">
        <v>1</v>
      </c>
      <c r="F98" s="76">
        <f>D98*E98</f>
        <v>0</v>
      </c>
      <c r="G98" s="260"/>
      <c r="H98" s="2266"/>
      <c r="I98" s="359"/>
    </row>
    <row r="99" spans="1:9" x14ac:dyDescent="0.2">
      <c r="A99" s="1151"/>
      <c r="B99" s="2621"/>
      <c r="C99" s="587" t="str">
        <f>F!C177</f>
        <v>10 - 50 cm deep.</v>
      </c>
      <c r="D99" s="798">
        <f>F!D177</f>
        <v>0</v>
      </c>
      <c r="E99" s="26">
        <v>3</v>
      </c>
      <c r="F99" s="76">
        <f>D99*E99</f>
        <v>0</v>
      </c>
      <c r="G99" s="261"/>
      <c r="H99" s="2266"/>
      <c r="I99" s="359"/>
    </row>
    <row r="100" spans="1:9" x14ac:dyDescent="0.2">
      <c r="A100" s="1151"/>
      <c r="B100" s="2621"/>
      <c r="C100" s="587" t="str">
        <f>F!C178</f>
        <v>0.5 - 1 m deep.</v>
      </c>
      <c r="D100" s="798">
        <f>F!D178</f>
        <v>0</v>
      </c>
      <c r="E100" s="26">
        <v>7</v>
      </c>
      <c r="F100" s="76">
        <f>D100*E100</f>
        <v>0</v>
      </c>
      <c r="G100" s="261"/>
      <c r="H100" s="2266"/>
      <c r="I100" s="359"/>
    </row>
    <row r="101" spans="1:9" x14ac:dyDescent="0.2">
      <c r="A101" s="1151"/>
      <c r="B101" s="2621"/>
      <c r="C101" s="587" t="str">
        <f>F!C179</f>
        <v>1 - 2 m deep.</v>
      </c>
      <c r="D101" s="798">
        <f>F!D179</f>
        <v>0</v>
      </c>
      <c r="E101" s="26">
        <v>5</v>
      </c>
      <c r="F101" s="76">
        <f>D101*E101</f>
        <v>0</v>
      </c>
      <c r="G101" s="261"/>
      <c r="H101" s="2266"/>
      <c r="I101" s="359"/>
    </row>
    <row r="102" spans="1:9" ht="13.5" thickBot="1" x14ac:dyDescent="0.25">
      <c r="A102" s="1151"/>
      <c r="B102" s="2622"/>
      <c r="C102" s="590" t="str">
        <f>F!C180</f>
        <v>&gt;2 m deep. True for many fringe wetlands.</v>
      </c>
      <c r="D102" s="799">
        <f>F!D180</f>
        <v>0</v>
      </c>
      <c r="E102" s="25">
        <v>2</v>
      </c>
      <c r="F102" s="79">
        <f>D102*E102</f>
        <v>0</v>
      </c>
      <c r="G102" s="264"/>
      <c r="H102" s="2267"/>
      <c r="I102" s="335"/>
    </row>
    <row r="103" spans="1:9" ht="13.5" thickBot="1" x14ac:dyDescent="0.25">
      <c r="A103" s="1562" t="str">
        <f>F!A182</f>
        <v>F30</v>
      </c>
      <c r="B103" s="2623" t="str">
        <f>F!B182</f>
        <v>Depth Classes - Evenness of Proportions [FR, WBF, WBN]</v>
      </c>
      <c r="C103" s="363" t="str">
        <f>F!C182</f>
        <v>When present, surface water in most of the AA usually consists of (select one):</v>
      </c>
      <c r="D103" s="801"/>
      <c r="E103" s="80"/>
      <c r="F103" s="81"/>
      <c r="G103" s="120">
        <f>IF((AllSat1&gt;0),"",MAX(F104:F106)/MAX(E104:E106))</f>
        <v>0</v>
      </c>
      <c r="H103" s="2271" t="s">
        <v>2214</v>
      </c>
      <c r="I103" s="384" t="s">
        <v>2215</v>
      </c>
    </row>
    <row r="104" spans="1:9" ht="25.5" x14ac:dyDescent="0.2">
      <c r="A104" s="1151"/>
      <c r="B104" s="2621"/>
      <c r="C104" s="586" t="str">
        <f>F!C183</f>
        <v xml:space="preserve">One depth class that comprises &gt;90% of the AA’s inundated area (use the classes in the question above). </v>
      </c>
      <c r="D104" s="797">
        <f>F!D183</f>
        <v>0</v>
      </c>
      <c r="E104" s="75">
        <v>0</v>
      </c>
      <c r="F104" s="75">
        <f>D104*E104</f>
        <v>0</v>
      </c>
      <c r="G104" s="260"/>
      <c r="H104" s="2266"/>
      <c r="I104" s="359"/>
    </row>
    <row r="105" spans="1:9" x14ac:dyDescent="0.2">
      <c r="A105" s="1151"/>
      <c r="B105" s="2621"/>
      <c r="C105" s="587" t="str">
        <f>F!C184</f>
        <v>One depth class that comprises 50-90% of the AA's inundated area.</v>
      </c>
      <c r="D105" s="798">
        <f>F!D184</f>
        <v>0</v>
      </c>
      <c r="E105" s="76">
        <v>1</v>
      </c>
      <c r="F105" s="76">
        <f>D105*E105</f>
        <v>0</v>
      </c>
      <c r="G105" s="261"/>
      <c r="H105" s="2266"/>
      <c r="I105" s="359"/>
    </row>
    <row r="106" spans="1:9" ht="13.5" thickBot="1" x14ac:dyDescent="0.25">
      <c r="A106" s="1152"/>
      <c r="B106" s="2624"/>
      <c r="C106" s="588" t="str">
        <f>F!C185</f>
        <v>Neither of above. There are 3 or more depth classes and none occupy &gt;50%.</v>
      </c>
      <c r="D106" s="817">
        <f>F!D185</f>
        <v>0</v>
      </c>
      <c r="E106" s="77">
        <v>2</v>
      </c>
      <c r="F106" s="77">
        <f>D106*E106</f>
        <v>0</v>
      </c>
      <c r="G106" s="262"/>
      <c r="H106" s="2267"/>
      <c r="I106" s="335"/>
    </row>
    <row r="107" spans="1:9" ht="26.25" thickBot="1" x14ac:dyDescent="0.25">
      <c r="A107" s="1563" t="str">
        <f>F!A187</f>
        <v>F31</v>
      </c>
      <c r="B107" s="262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0</v>
      </c>
      <c r="H107" s="2271" t="s">
        <v>2216</v>
      </c>
      <c r="I107" s="384" t="s">
        <v>2217</v>
      </c>
    </row>
    <row r="108" spans="1:9" ht="25.5" x14ac:dyDescent="0.2">
      <c r="A108" s="1563"/>
      <c r="B108" s="262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266"/>
      <c r="I108" s="359"/>
    </row>
    <row r="109" spans="1:9" x14ac:dyDescent="0.2">
      <c r="A109" s="1563"/>
      <c r="B109" s="2621"/>
      <c r="C109" s="587" t="str">
        <f>F!C189</f>
        <v>5-30% of the water.</v>
      </c>
      <c r="D109" s="798">
        <f>F!D189</f>
        <v>0</v>
      </c>
      <c r="E109" s="76">
        <v>3</v>
      </c>
      <c r="F109" s="76">
        <f>D109*E109</f>
        <v>0</v>
      </c>
      <c r="G109" s="261"/>
      <c r="H109" s="2266"/>
      <c r="I109" s="359"/>
    </row>
    <row r="110" spans="1:9" x14ac:dyDescent="0.2">
      <c r="A110" s="1563"/>
      <c r="B110" s="2621"/>
      <c r="C110" s="587" t="str">
        <f>F!C190</f>
        <v>30-70% of the water.</v>
      </c>
      <c r="D110" s="798">
        <f>F!D190</f>
        <v>0</v>
      </c>
      <c r="E110" s="76">
        <v>4</v>
      </c>
      <c r="F110" s="76">
        <f>D110*E110</f>
        <v>0</v>
      </c>
      <c r="G110" s="264"/>
      <c r="H110" s="2266"/>
      <c r="I110" s="359"/>
    </row>
    <row r="111" spans="1:9" x14ac:dyDescent="0.2">
      <c r="A111" s="1563"/>
      <c r="B111" s="2621"/>
      <c r="C111" s="587" t="str">
        <f>F!C191</f>
        <v>70-95% of the water.</v>
      </c>
      <c r="D111" s="798">
        <f>F!D191</f>
        <v>0</v>
      </c>
      <c r="E111" s="76">
        <v>5</v>
      </c>
      <c r="F111" s="76">
        <f>D111*E111</f>
        <v>0</v>
      </c>
      <c r="G111" s="264"/>
      <c r="H111" s="2266"/>
      <c r="I111" s="359"/>
    </row>
    <row r="112" spans="1:9" ht="13.5" thickBot="1" x14ac:dyDescent="0.25">
      <c r="A112" s="1563"/>
      <c r="B112" s="2622"/>
      <c r="C112" s="590" t="str">
        <f>F!C192</f>
        <v>&gt;95% of the water. Includes but not limited to wetlands with no outlets (F42).</v>
      </c>
      <c r="D112" s="799">
        <f>F!D192</f>
        <v>0</v>
      </c>
      <c r="E112" s="79">
        <v>5</v>
      </c>
      <c r="F112" s="79">
        <f>D112*E112</f>
        <v>0</v>
      </c>
      <c r="G112" s="264"/>
      <c r="H112" s="2267"/>
      <c r="I112" s="335"/>
    </row>
    <row r="113" spans="1:9" ht="26.25" thickBot="1" x14ac:dyDescent="0.25">
      <c r="A113" s="1562" t="str">
        <f>F!A195</f>
        <v>F33</v>
      </c>
      <c r="B113" s="2623"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v>
      </c>
      <c r="H113" s="2271" t="s">
        <v>8942</v>
      </c>
      <c r="I113" s="384" t="s">
        <v>2218</v>
      </c>
    </row>
    <row r="114" spans="1:9" ht="25.5" x14ac:dyDescent="0.2">
      <c r="A114" s="1563"/>
      <c r="B114" s="2621"/>
      <c r="C114" s="590" t="str">
        <f>F!C196</f>
        <v>None, or &lt;1% of the AA and largest pool occupies &lt;0.01 hectares. Enter "1" and SKIP to F38 (Floating Algae &amp; Duckweed).</v>
      </c>
      <c r="D114" s="799">
        <f>F!D196</f>
        <v>0</v>
      </c>
      <c r="E114" s="76">
        <v>0</v>
      </c>
      <c r="F114" s="76">
        <f t="shared" ref="F114:F119" si="5">D114*E114</f>
        <v>0</v>
      </c>
      <c r="G114" s="260"/>
      <c r="H114" s="2266"/>
      <c r="I114" s="359"/>
    </row>
    <row r="115" spans="1:9" x14ac:dyDescent="0.2">
      <c r="A115" s="1563"/>
      <c r="B115" s="2621"/>
      <c r="C115" s="587" t="str">
        <f>F!C197</f>
        <v>1-4% of the ponded water. Enter "1" and SKIP to F38 (Floating Algae &amp; Duckweed).</v>
      </c>
      <c r="D115" s="798">
        <f>F!D197</f>
        <v>0</v>
      </c>
      <c r="E115" s="76">
        <v>3</v>
      </c>
      <c r="F115" s="76">
        <f t="shared" si="5"/>
        <v>0</v>
      </c>
      <c r="G115" s="261"/>
      <c r="H115" s="2266"/>
      <c r="I115" s="359"/>
    </row>
    <row r="116" spans="1:9" x14ac:dyDescent="0.2">
      <c r="A116" s="1563"/>
      <c r="B116" s="2621"/>
      <c r="C116" s="587" t="str">
        <f>F!C198</f>
        <v>5-30% of the ponded water.</v>
      </c>
      <c r="D116" s="798">
        <f>F!D198</f>
        <v>0</v>
      </c>
      <c r="E116" s="76">
        <v>4</v>
      </c>
      <c r="F116" s="76">
        <f t="shared" si="5"/>
        <v>0</v>
      </c>
      <c r="G116" s="261"/>
      <c r="H116" s="2266"/>
      <c r="I116" s="359"/>
    </row>
    <row r="117" spans="1:9" x14ac:dyDescent="0.2">
      <c r="A117" s="1563"/>
      <c r="B117" s="2621"/>
      <c r="C117" s="587" t="str">
        <f>F!C199</f>
        <v>30-70% of the ponded water.</v>
      </c>
      <c r="D117" s="798">
        <f>F!D199</f>
        <v>0</v>
      </c>
      <c r="E117" s="76">
        <v>6</v>
      </c>
      <c r="F117" s="76">
        <f t="shared" si="5"/>
        <v>0</v>
      </c>
      <c r="G117" s="261"/>
      <c r="H117" s="2266"/>
      <c r="I117" s="359"/>
    </row>
    <row r="118" spans="1:9" x14ac:dyDescent="0.2">
      <c r="A118" s="1563"/>
      <c r="B118" s="2621"/>
      <c r="C118" s="587" t="str">
        <f>F!C200</f>
        <v>70-99% of the ponded water.</v>
      </c>
      <c r="D118" s="798">
        <f>F!D200</f>
        <v>0</v>
      </c>
      <c r="E118" s="76">
        <v>4</v>
      </c>
      <c r="F118" s="76">
        <f t="shared" si="5"/>
        <v>0</v>
      </c>
      <c r="G118" s="261"/>
      <c r="H118" s="2266"/>
      <c r="I118" s="359"/>
    </row>
    <row r="119" spans="1:9" ht="13.5" thickBot="1" x14ac:dyDescent="0.25">
      <c r="A119" s="1564"/>
      <c r="B119" s="2624"/>
      <c r="C119" s="589" t="str">
        <f>F!C201</f>
        <v xml:space="preserve">100% of the ponded water. </v>
      </c>
      <c r="D119" s="720">
        <f>F!D201</f>
        <v>0</v>
      </c>
      <c r="E119" s="84">
        <v>2</v>
      </c>
      <c r="F119" s="77">
        <f t="shared" si="5"/>
        <v>0</v>
      </c>
      <c r="G119" s="262"/>
      <c r="H119" s="2267"/>
      <c r="I119" s="335"/>
    </row>
    <row r="120" spans="1:9" ht="39" thickBot="1" x14ac:dyDescent="0.25">
      <c r="A120" s="1566" t="str">
        <f>F!A202</f>
        <v>F34</v>
      </c>
      <c r="B120" s="262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v>
      </c>
      <c r="H120" s="2271" t="s">
        <v>2219</v>
      </c>
      <c r="I120" s="384" t="s">
        <v>2220</v>
      </c>
    </row>
    <row r="121" spans="1:9" x14ac:dyDescent="0.2">
      <c r="A121" s="1566"/>
      <c r="B121" s="2621"/>
      <c r="C121" s="595" t="str">
        <f>F!C203</f>
        <v>&lt;1 m.</v>
      </c>
      <c r="D121" s="818">
        <f>F!D203</f>
        <v>0</v>
      </c>
      <c r="E121" s="76">
        <v>0</v>
      </c>
      <c r="F121" s="76">
        <f t="shared" ref="F121:F126" si="6">D121*E121</f>
        <v>0</v>
      </c>
      <c r="G121" s="260"/>
      <c r="H121" s="2266"/>
      <c r="I121" s="359"/>
    </row>
    <row r="122" spans="1:9" x14ac:dyDescent="0.2">
      <c r="A122" s="1566"/>
      <c r="B122" s="2621"/>
      <c r="C122" s="590" t="str">
        <f>F!C204</f>
        <v>1 - 9 m.</v>
      </c>
      <c r="D122" s="799">
        <f>F!D204</f>
        <v>0</v>
      </c>
      <c r="E122" s="76">
        <v>1</v>
      </c>
      <c r="F122" s="76">
        <f t="shared" si="6"/>
        <v>0</v>
      </c>
      <c r="G122" s="261"/>
      <c r="H122" s="2266"/>
      <c r="I122" s="359"/>
    </row>
    <row r="123" spans="1:9" x14ac:dyDescent="0.2">
      <c r="A123" s="1566"/>
      <c r="B123" s="2621"/>
      <c r="C123" s="590" t="str">
        <f>F!C205</f>
        <v>10 - 29 m.</v>
      </c>
      <c r="D123" s="799">
        <f>F!D205</f>
        <v>0</v>
      </c>
      <c r="E123" s="76">
        <v>2</v>
      </c>
      <c r="F123" s="76">
        <f t="shared" si="6"/>
        <v>0</v>
      </c>
      <c r="G123" s="261"/>
      <c r="H123" s="2266"/>
      <c r="I123" s="359"/>
    </row>
    <row r="124" spans="1:9" x14ac:dyDescent="0.2">
      <c r="A124" s="1566"/>
      <c r="B124" s="2621"/>
      <c r="C124" s="590" t="str">
        <f>F!C206</f>
        <v>30 - 49 m.</v>
      </c>
      <c r="D124" s="799">
        <f>F!D206</f>
        <v>0</v>
      </c>
      <c r="E124" s="76">
        <v>3</v>
      </c>
      <c r="F124" s="76">
        <f t="shared" si="6"/>
        <v>0</v>
      </c>
      <c r="G124" s="261"/>
      <c r="H124" s="2266"/>
      <c r="I124" s="359"/>
    </row>
    <row r="125" spans="1:9" x14ac:dyDescent="0.2">
      <c r="A125" s="1566"/>
      <c r="B125" s="2621"/>
      <c r="C125" s="590" t="str">
        <f>F!C207</f>
        <v>50 - 100 m.</v>
      </c>
      <c r="D125" s="799">
        <f>F!D207</f>
        <v>0</v>
      </c>
      <c r="E125" s="76">
        <v>4</v>
      </c>
      <c r="F125" s="76">
        <f t="shared" si="6"/>
        <v>0</v>
      </c>
      <c r="G125" s="261"/>
      <c r="H125" s="2266"/>
      <c r="I125" s="359"/>
    </row>
    <row r="126" spans="1:9" ht="13.5" thickBot="1" x14ac:dyDescent="0.25">
      <c r="A126" s="1566"/>
      <c r="B126" s="2622"/>
      <c r="C126" s="590" t="str">
        <f>F!C208</f>
        <v>&gt; 100 m, or open water is absent at that time.</v>
      </c>
      <c r="D126" s="799">
        <f>F!D208</f>
        <v>0</v>
      </c>
      <c r="E126" s="79">
        <v>6</v>
      </c>
      <c r="F126" s="79">
        <f t="shared" si="6"/>
        <v>0</v>
      </c>
      <c r="G126" s="264"/>
      <c r="H126" s="2267"/>
      <c r="I126" s="335"/>
    </row>
    <row r="127" spans="1:9" ht="39" thickBot="1" x14ac:dyDescent="0.25">
      <c r="A127" s="1562" t="str">
        <f>F!A210</f>
        <v>F35</v>
      </c>
      <c r="B127" s="2623"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v>
      </c>
      <c r="H127" s="2271" t="s">
        <v>8943</v>
      </c>
      <c r="I127" s="384" t="s">
        <v>2221</v>
      </c>
    </row>
    <row r="128" spans="1:9" x14ac:dyDescent="0.2">
      <c r="A128" s="1563"/>
      <c r="B128" s="2621"/>
      <c r="C128" s="595" t="str">
        <f>F!C211</f>
        <v>&lt;1% of the water edge.</v>
      </c>
      <c r="D128" s="818">
        <f>F!D211</f>
        <v>0</v>
      </c>
      <c r="E128" s="76">
        <v>0</v>
      </c>
      <c r="F128" s="76">
        <f>D128*E128</f>
        <v>0</v>
      </c>
      <c r="G128" s="260"/>
      <c r="H128" s="2266"/>
      <c r="I128" s="359"/>
    </row>
    <row r="129" spans="1:9" x14ac:dyDescent="0.2">
      <c r="A129" s="1563"/>
      <c r="B129" s="2621"/>
      <c r="C129" s="590" t="str">
        <f>F!C212</f>
        <v>1-25% of the water edge.</v>
      </c>
      <c r="D129" s="799">
        <f>F!D212</f>
        <v>0</v>
      </c>
      <c r="E129" s="76">
        <v>1</v>
      </c>
      <c r="F129" s="76">
        <f>D129*E129</f>
        <v>0</v>
      </c>
      <c r="G129" s="261"/>
      <c r="H129" s="2266"/>
      <c r="I129" s="359"/>
    </row>
    <row r="130" spans="1:9" x14ac:dyDescent="0.2">
      <c r="A130" s="1563"/>
      <c r="B130" s="2621"/>
      <c r="C130" s="590" t="str">
        <f>F!C213</f>
        <v>25-50% of the water edge.</v>
      </c>
      <c r="D130" s="799">
        <f>F!D213</f>
        <v>0</v>
      </c>
      <c r="E130" s="76">
        <v>2</v>
      </c>
      <c r="F130" s="76">
        <f>D130*E130</f>
        <v>0</v>
      </c>
      <c r="G130" s="261"/>
      <c r="H130" s="2266"/>
      <c r="I130" s="359"/>
    </row>
    <row r="131" spans="1:9" x14ac:dyDescent="0.2">
      <c r="A131" s="1563"/>
      <c r="B131" s="2621"/>
      <c r="C131" s="590" t="str">
        <f>F!C214</f>
        <v>50-75% of the water edge.</v>
      </c>
      <c r="D131" s="799">
        <f>F!D214</f>
        <v>0</v>
      </c>
      <c r="E131" s="76">
        <v>3</v>
      </c>
      <c r="F131" s="76">
        <f>D131*E131</f>
        <v>0</v>
      </c>
      <c r="G131" s="261"/>
      <c r="H131" s="2266"/>
      <c r="I131" s="359"/>
    </row>
    <row r="132" spans="1:9" ht="13.5" thickBot="1" x14ac:dyDescent="0.25">
      <c r="A132" s="1564"/>
      <c r="B132" s="2624"/>
      <c r="C132" s="588" t="str">
        <f>F!C215</f>
        <v>&gt;75% of the water edge.</v>
      </c>
      <c r="D132" s="817">
        <f>F!D215</f>
        <v>0</v>
      </c>
      <c r="E132" s="77">
        <v>4</v>
      </c>
      <c r="F132" s="77">
        <f>D132*E132</f>
        <v>0</v>
      </c>
      <c r="G132" s="262"/>
      <c r="H132" s="2267"/>
      <c r="I132" s="335"/>
    </row>
    <row r="133" spans="1:9" ht="26.25" thickBot="1" x14ac:dyDescent="0.25">
      <c r="A133" s="1563" t="str">
        <f>F!A217</f>
        <v>F36</v>
      </c>
      <c r="B133" s="262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271" t="s">
        <v>2222</v>
      </c>
      <c r="I133" s="384" t="s">
        <v>2223</v>
      </c>
    </row>
    <row r="134" spans="1:9" ht="25.5" x14ac:dyDescent="0.2">
      <c r="A134" s="1563"/>
      <c r="B134" s="2621"/>
      <c r="C134" s="586" t="str">
        <f>F!C218</f>
        <v>Scattered. More than 30% of such vegetation forms small islands or corridors surrounded by water.</v>
      </c>
      <c r="D134" s="797">
        <f>F!D218</f>
        <v>0</v>
      </c>
      <c r="E134" s="76">
        <v>3</v>
      </c>
      <c r="F134" s="93">
        <f>D134*E134</f>
        <v>0</v>
      </c>
      <c r="G134" s="599"/>
      <c r="H134" s="2266"/>
      <c r="I134" s="359"/>
    </row>
    <row r="135" spans="1:9" x14ac:dyDescent="0.2">
      <c r="A135" s="1563"/>
      <c r="B135" s="2621"/>
      <c r="C135" s="587" t="str">
        <f>F!C219</f>
        <v>Intermediate.</v>
      </c>
      <c r="D135" s="798">
        <f>F!D219</f>
        <v>0</v>
      </c>
      <c r="E135" s="76">
        <v>2</v>
      </c>
      <c r="F135" s="93">
        <f>D135*E135</f>
        <v>0</v>
      </c>
      <c r="G135" s="599"/>
      <c r="H135" s="2266"/>
      <c r="I135" s="359"/>
    </row>
    <row r="136" spans="1:9" ht="26.25" thickBot="1" x14ac:dyDescent="0.25">
      <c r="A136" s="1563"/>
      <c r="B136" s="2622"/>
      <c r="C136" s="590" t="str">
        <f>F!C220</f>
        <v>Clumped. More than 70% of such vegetation is in bands along the wetland perimeter or is clumped at one or a few sides of the surface water area.</v>
      </c>
      <c r="D136" s="799">
        <f>F!D220</f>
        <v>0</v>
      </c>
      <c r="E136" s="79">
        <v>0</v>
      </c>
      <c r="F136" s="95">
        <f>D136*E136</f>
        <v>0</v>
      </c>
      <c r="G136" s="600"/>
      <c r="H136" s="2267"/>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23" t="str">
        <f>F!B251</f>
        <v>Beaver Probability [SFTS, CC, APP, FA, FR, AM, WBF, WBN, RSB, KMH, PH, Sens]</v>
      </c>
      <c r="C139" s="363" t="str">
        <f>F!C251</f>
        <v>Use of the AA by beaver during the past 5 years is (select most applicable ONE):</v>
      </c>
      <c r="D139" s="801"/>
      <c r="E139" s="80"/>
      <c r="F139" s="80"/>
      <c r="G139" s="120">
        <f>MAX(F140:F142)/MAX(E140:E142)</f>
        <v>0</v>
      </c>
      <c r="H139" s="2271" t="s">
        <v>2227</v>
      </c>
      <c r="I139" s="384" t="s">
        <v>2228</v>
      </c>
    </row>
    <row r="140" spans="1:9" ht="25.5" x14ac:dyDescent="0.2">
      <c r="A140" s="1563"/>
      <c r="B140" s="2621"/>
      <c r="C140" s="586" t="str">
        <f>F!C252</f>
        <v>Evident from direct observation or presence of gnawed limbs, dams, tracks, dens, lodges, or extensive stands of water-killed trees (snags).</v>
      </c>
      <c r="D140" s="797">
        <f>F!D252</f>
        <v>0</v>
      </c>
      <c r="E140" s="76">
        <v>3</v>
      </c>
      <c r="F140" s="76">
        <f>D140*E140</f>
        <v>0</v>
      </c>
      <c r="G140" s="261"/>
      <c r="H140" s="2266"/>
      <c r="I140" s="359"/>
    </row>
    <row r="141" spans="1:9" ht="51" x14ac:dyDescent="0.2">
      <c r="A141" s="1563"/>
      <c r="B141" s="262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266"/>
      <c r="I141" s="359"/>
    </row>
    <row r="142" spans="1:9" ht="26.25" thickBot="1" x14ac:dyDescent="0.25">
      <c r="A142" s="1564"/>
      <c r="B142" s="2624"/>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267"/>
      <c r="I142" s="335"/>
    </row>
    <row r="143" spans="1:9" ht="13.5" thickBot="1" x14ac:dyDescent="0.25">
      <c r="A143" s="1562" t="str">
        <f>F!A260</f>
        <v>F49</v>
      </c>
      <c r="B143" s="2623" t="str">
        <f>F!B260</f>
        <v>Internal Gradient [WS, SR, PR, NR, OE, WBF, WBN]</v>
      </c>
      <c r="C143" s="363" t="str">
        <f>F!C260</f>
        <v>The gradient along most of the flow path within the AA is:</v>
      </c>
      <c r="D143" s="801"/>
      <c r="E143" s="80"/>
      <c r="F143" s="91"/>
      <c r="G143" s="120">
        <f>MAX(F144:F147)/MAX(E144:E147)</f>
        <v>0</v>
      </c>
      <c r="H143" s="2271" t="s">
        <v>2229</v>
      </c>
      <c r="I143" s="384" t="s">
        <v>2230</v>
      </c>
    </row>
    <row r="144" spans="1:9" x14ac:dyDescent="0.2">
      <c r="A144" s="1151"/>
      <c r="B144" s="2621"/>
      <c r="C144" s="1422" t="str">
        <f>F!C261</f>
        <v>&lt;2% or the AA has no surface water outlet (not even seasonally).</v>
      </c>
      <c r="D144" s="819">
        <f>F!D261</f>
        <v>0</v>
      </c>
      <c r="E144" s="76">
        <v>4</v>
      </c>
      <c r="F144" s="76">
        <f>D144*E144</f>
        <v>0</v>
      </c>
      <c r="G144" s="260"/>
      <c r="H144" s="2266"/>
      <c r="I144" s="359"/>
    </row>
    <row r="145" spans="1:9" x14ac:dyDescent="0.2">
      <c r="A145" s="1151"/>
      <c r="B145" s="2621"/>
      <c r="C145" s="595" t="str">
        <f>F!C262</f>
        <v>2-5%.</v>
      </c>
      <c r="D145" s="818">
        <f>F!D262</f>
        <v>0</v>
      </c>
      <c r="E145" s="76">
        <v>2</v>
      </c>
      <c r="F145" s="76">
        <f>D145*E145</f>
        <v>0</v>
      </c>
      <c r="G145" s="261"/>
      <c r="H145" s="2266"/>
      <c r="I145" s="359"/>
    </row>
    <row r="146" spans="1:9" x14ac:dyDescent="0.2">
      <c r="A146" s="1151"/>
      <c r="B146" s="2621"/>
      <c r="C146" s="590" t="str">
        <f>F!C263</f>
        <v>6-10%.</v>
      </c>
      <c r="D146" s="799">
        <f>F!D263</f>
        <v>0</v>
      </c>
      <c r="E146" s="76">
        <v>1</v>
      </c>
      <c r="F146" s="76">
        <f>D146*E146</f>
        <v>0</v>
      </c>
      <c r="G146" s="261"/>
      <c r="H146" s="2266"/>
      <c r="I146" s="359"/>
    </row>
    <row r="147" spans="1:9" ht="13.5" thickBot="1" x14ac:dyDescent="0.25">
      <c r="A147" s="1152"/>
      <c r="B147" s="2624"/>
      <c r="C147" s="588" t="str">
        <f>F!C264</f>
        <v>&gt;10%.</v>
      </c>
      <c r="D147" s="817">
        <f>F!D264</f>
        <v>0</v>
      </c>
      <c r="E147" s="77">
        <v>0</v>
      </c>
      <c r="F147" s="77">
        <f>D147*E147</f>
        <v>0</v>
      </c>
      <c r="G147" s="262"/>
      <c r="H147" s="2267"/>
      <c r="I147" s="335"/>
    </row>
    <row r="148" spans="1:9" ht="39" thickBot="1" x14ac:dyDescent="0.25">
      <c r="A148" s="1563" t="str">
        <f>F!A266</f>
        <v>F50</v>
      </c>
      <c r="B148" s="262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v>
      </c>
      <c r="H148" s="2271" t="s">
        <v>2231</v>
      </c>
      <c r="I148" s="384" t="s">
        <v>2232</v>
      </c>
    </row>
    <row r="149" spans="1:9" x14ac:dyDescent="0.2">
      <c r="A149" s="1151"/>
      <c r="B149" s="2621"/>
      <c r="C149" s="1423" t="str">
        <f>F!C267</f>
        <v>&lt;5%.</v>
      </c>
      <c r="D149" s="800">
        <f>F!D267</f>
        <v>0</v>
      </c>
      <c r="E149" s="76">
        <v>0</v>
      </c>
      <c r="F149" s="76">
        <f>D149*E149</f>
        <v>0</v>
      </c>
      <c r="G149" s="260"/>
      <c r="H149" s="2266"/>
      <c r="I149" s="359"/>
    </row>
    <row r="150" spans="1:9" x14ac:dyDescent="0.2">
      <c r="A150" s="1151"/>
      <c r="B150" s="2621"/>
      <c r="C150" s="587" t="str">
        <f>F!C268</f>
        <v>5 to &lt;30%.</v>
      </c>
      <c r="D150" s="798">
        <f>F!D268</f>
        <v>0</v>
      </c>
      <c r="E150" s="76">
        <v>2</v>
      </c>
      <c r="F150" s="76">
        <f>D150*E150</f>
        <v>0</v>
      </c>
      <c r="G150" s="261"/>
      <c r="H150" s="2266"/>
      <c r="I150" s="359"/>
    </row>
    <row r="151" spans="1:9" x14ac:dyDescent="0.2">
      <c r="A151" s="1151"/>
      <c r="B151" s="2621"/>
      <c r="C151" s="595" t="str">
        <f>F!C269</f>
        <v>30 to &lt;60%.</v>
      </c>
      <c r="D151" s="818">
        <f>F!D269</f>
        <v>0</v>
      </c>
      <c r="E151" s="76">
        <v>3</v>
      </c>
      <c r="F151" s="76">
        <f>D151*E151</f>
        <v>0</v>
      </c>
      <c r="G151" s="261"/>
      <c r="H151" s="2266"/>
      <c r="I151" s="359"/>
    </row>
    <row r="152" spans="1:9" x14ac:dyDescent="0.2">
      <c r="A152" s="1151"/>
      <c r="B152" s="2621"/>
      <c r="C152" s="590" t="str">
        <f>F!C270</f>
        <v>60 to 90%.</v>
      </c>
      <c r="D152" s="799">
        <f>F!D270</f>
        <v>0</v>
      </c>
      <c r="E152" s="76">
        <v>4</v>
      </c>
      <c r="F152" s="76">
        <f>D152*E152</f>
        <v>0</v>
      </c>
      <c r="G152" s="261"/>
      <c r="H152" s="2266"/>
      <c r="I152" s="359"/>
    </row>
    <row r="153" spans="1:9" ht="13.5" thickBot="1" x14ac:dyDescent="0.25">
      <c r="A153" s="1151"/>
      <c r="B153" s="2622"/>
      <c r="C153" s="590" t="str">
        <f>F!C271</f>
        <v>&gt;90%, or all the area within 30 m of the AA edge is other wetlands. SKIP to F53.</v>
      </c>
      <c r="D153" s="799">
        <f>F!D271</f>
        <v>0</v>
      </c>
      <c r="E153" s="79">
        <v>6</v>
      </c>
      <c r="F153" s="79">
        <f>D153*E153</f>
        <v>0</v>
      </c>
      <c r="G153" s="264"/>
      <c r="H153" s="2266"/>
      <c r="I153" s="359"/>
    </row>
    <row r="154" spans="1:9" ht="20.25" customHeight="1" thickBot="1" x14ac:dyDescent="0.25">
      <c r="A154" s="2635" t="str">
        <f>F!A294</f>
        <v>F55</v>
      </c>
      <c r="B154" s="2632" t="str">
        <f>F!B294</f>
        <v>Fire History [WFR, CSP, PH, STR]</v>
      </c>
      <c r="C154" s="1867" t="str">
        <f>F!C294</f>
        <v>More than 1% of the AA's previously vegetated area:</v>
      </c>
      <c r="D154" s="813"/>
      <c r="E154" s="80"/>
      <c r="F154" s="81"/>
      <c r="G154" s="672">
        <f>IF((D158=1),"",MAX(F155:F158)/MAX(E155:E158))</f>
        <v>0</v>
      </c>
      <c r="H154" s="2271" t="s">
        <v>8972</v>
      </c>
      <c r="I154" s="2572" t="s">
        <v>8569</v>
      </c>
    </row>
    <row r="155" spans="1:9" ht="14.25" customHeight="1" x14ac:dyDescent="0.2">
      <c r="A155" s="2636"/>
      <c r="B155" s="2633"/>
      <c r="C155" s="1868" t="str">
        <f>F!C295</f>
        <v>Burned within past 5 years.</v>
      </c>
      <c r="D155" s="448">
        <f>F!D295</f>
        <v>0</v>
      </c>
      <c r="E155" s="76">
        <v>5</v>
      </c>
      <c r="F155" s="76">
        <f t="shared" ref="F155:F158" si="7">D155*E155</f>
        <v>0</v>
      </c>
      <c r="G155" s="260"/>
      <c r="H155" s="2266"/>
      <c r="I155" s="2573"/>
    </row>
    <row r="156" spans="1:9" x14ac:dyDescent="0.2">
      <c r="A156" s="2636"/>
      <c r="B156" s="2633"/>
      <c r="C156" s="1868" t="str">
        <f>F!C296</f>
        <v>Burned 6-10 years ago.</v>
      </c>
      <c r="D156" s="448">
        <f>F!D296</f>
        <v>0</v>
      </c>
      <c r="E156" s="76">
        <v>2</v>
      </c>
      <c r="F156" s="76">
        <f t="shared" si="7"/>
        <v>0</v>
      </c>
      <c r="G156" s="261"/>
      <c r="H156" s="2266"/>
      <c r="I156" s="2573"/>
    </row>
    <row r="157" spans="1:9" x14ac:dyDescent="0.2">
      <c r="A157" s="2636"/>
      <c r="B157" s="2633"/>
      <c r="C157" s="1868" t="str">
        <f>F!C297</f>
        <v>Burned 11-30 years ago.</v>
      </c>
      <c r="D157" s="448">
        <f>F!D297</f>
        <v>0</v>
      </c>
      <c r="E157" s="76">
        <v>1</v>
      </c>
      <c r="F157" s="76">
        <f t="shared" si="7"/>
        <v>0</v>
      </c>
      <c r="G157" s="261"/>
      <c r="H157" s="2266"/>
      <c r="I157" s="2573"/>
    </row>
    <row r="158" spans="1:9" ht="13.5" thickBot="1" x14ac:dyDescent="0.25">
      <c r="A158" s="2637"/>
      <c r="B158" s="2634"/>
      <c r="C158" s="1869" t="str">
        <f>F!C298</f>
        <v>Burned &gt;30 years ago, or no evidence of a burn and no data.</v>
      </c>
      <c r="D158" s="449">
        <f>F!D298</f>
        <v>0</v>
      </c>
      <c r="E158" s="77">
        <v>0</v>
      </c>
      <c r="F158" s="77">
        <f t="shared" si="7"/>
        <v>0</v>
      </c>
      <c r="G158" s="262"/>
      <c r="H158" s="2267"/>
      <c r="I158" s="2574"/>
    </row>
    <row r="159" spans="1:9" ht="26.25" thickBot="1" x14ac:dyDescent="0.25">
      <c r="A159" s="1563" t="str">
        <f>F!A308</f>
        <v>F58</v>
      </c>
      <c r="B159" s="262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v>
      </c>
      <c r="H159" s="2266" t="s">
        <v>8936</v>
      </c>
      <c r="I159" s="359" t="s">
        <v>2233</v>
      </c>
    </row>
    <row r="160" spans="1:9" x14ac:dyDescent="0.2">
      <c r="A160" s="1563"/>
      <c r="B160" s="2621"/>
      <c r="C160" s="1422" t="str">
        <f>F!C309</f>
        <v>&lt;5% and no inhabited building is within 100 m of the AA.</v>
      </c>
      <c r="D160" s="819">
        <f>F!D309</f>
        <v>0</v>
      </c>
      <c r="E160" s="93">
        <v>1</v>
      </c>
      <c r="F160" s="76">
        <f t="shared" ref="F160:F165" si="8">D160*E160</f>
        <v>0</v>
      </c>
      <c r="G160" s="260"/>
      <c r="H160" s="2266"/>
      <c r="I160" s="359"/>
    </row>
    <row r="161" spans="1:9" x14ac:dyDescent="0.2">
      <c r="A161" s="1563"/>
      <c r="B161" s="2621"/>
      <c r="C161" s="587" t="str">
        <f>F!C310</f>
        <v>&lt;5% and inhabited building is within 100 m of the AA.</v>
      </c>
      <c r="D161" s="798">
        <f>F!D310</f>
        <v>0</v>
      </c>
      <c r="E161" s="93">
        <v>0</v>
      </c>
      <c r="F161" s="76">
        <f t="shared" si="8"/>
        <v>0</v>
      </c>
      <c r="G161" s="261"/>
      <c r="H161" s="2266"/>
      <c r="I161" s="359"/>
    </row>
    <row r="162" spans="1:9" x14ac:dyDescent="0.2">
      <c r="A162" s="1563"/>
      <c r="B162" s="2621"/>
      <c r="C162" s="587" t="str">
        <f>F!C311</f>
        <v>5-50% and no inhabited building is within 100 m of the AA.</v>
      </c>
      <c r="D162" s="798">
        <f>F!D311</f>
        <v>0</v>
      </c>
      <c r="E162" s="93">
        <v>3</v>
      </c>
      <c r="F162" s="76">
        <f t="shared" si="8"/>
        <v>0</v>
      </c>
      <c r="G162" s="261"/>
      <c r="H162" s="2266"/>
      <c r="I162" s="359"/>
    </row>
    <row r="163" spans="1:9" x14ac:dyDescent="0.2">
      <c r="A163" s="1563"/>
      <c r="B163" s="2621"/>
      <c r="C163" s="595" t="str">
        <f>F!C312</f>
        <v>5-50% and inhabited building is within 100 m of the AA.</v>
      </c>
      <c r="D163" s="818">
        <f>F!D312</f>
        <v>0</v>
      </c>
      <c r="E163" s="93">
        <v>2</v>
      </c>
      <c r="F163" s="76">
        <f t="shared" si="8"/>
        <v>0</v>
      </c>
      <c r="G163" s="264"/>
      <c r="H163" s="2266"/>
      <c r="I163" s="359"/>
    </row>
    <row r="164" spans="1:9" x14ac:dyDescent="0.2">
      <c r="A164" s="1563"/>
      <c r="B164" s="2621"/>
      <c r="C164" s="590" t="str">
        <f>F!C313</f>
        <v>50-95%, with or without inhabited building nearby.</v>
      </c>
      <c r="D164" s="799">
        <f>F!D313</f>
        <v>0</v>
      </c>
      <c r="E164" s="93">
        <v>4</v>
      </c>
      <c r="F164" s="76">
        <f t="shared" si="8"/>
        <v>0</v>
      </c>
      <c r="G164" s="264"/>
      <c r="H164" s="2266"/>
      <c r="I164" s="359"/>
    </row>
    <row r="165" spans="1:9" ht="13.5" thickBot="1" x14ac:dyDescent="0.25">
      <c r="A165" s="1564"/>
      <c r="B165" s="2624"/>
      <c r="C165" s="588" t="str">
        <f>F!C314</f>
        <v>&gt;95% of the AA with or without inhabited building nearby.</v>
      </c>
      <c r="D165" s="817">
        <f>F!D314</f>
        <v>0</v>
      </c>
      <c r="E165" s="97">
        <v>5</v>
      </c>
      <c r="F165" s="77">
        <f t="shared" si="8"/>
        <v>0</v>
      </c>
      <c r="G165" s="262"/>
      <c r="H165" s="2267"/>
      <c r="I165" s="335"/>
    </row>
    <row r="166" spans="1:9" ht="26.25" thickBot="1" x14ac:dyDescent="0.25">
      <c r="A166" s="1563" t="str">
        <f>F!A316</f>
        <v>F59</v>
      </c>
      <c r="B166" s="262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271" t="s">
        <v>1148</v>
      </c>
      <c r="I166" s="384" t="s">
        <v>2234</v>
      </c>
    </row>
    <row r="167" spans="1:9" ht="25.5" x14ac:dyDescent="0.2">
      <c r="A167" s="1563"/>
      <c r="B167" s="2621"/>
      <c r="C167" s="1423" t="str">
        <f>F!C317</f>
        <v>&lt;5%. If F58 was answered "&gt;95%" (mostly never visited), SKIP to F62 (Consumptive Uses).</v>
      </c>
      <c r="D167" s="800">
        <f>F!D317</f>
        <v>0</v>
      </c>
      <c r="E167" s="93">
        <v>2</v>
      </c>
      <c r="F167" s="76">
        <f>D167*E167</f>
        <v>0</v>
      </c>
      <c r="G167" s="260"/>
      <c r="H167" s="2266"/>
      <c r="I167" s="359"/>
    </row>
    <row r="168" spans="1:9" x14ac:dyDescent="0.2">
      <c r="A168" s="1563"/>
      <c r="B168" s="2621"/>
      <c r="C168" s="587" t="str">
        <f>F!C318</f>
        <v>5-50%.</v>
      </c>
      <c r="D168" s="798">
        <f>F!D318</f>
        <v>0</v>
      </c>
      <c r="E168" s="93">
        <v>1</v>
      </c>
      <c r="F168" s="76">
        <f>D168*E168</f>
        <v>0</v>
      </c>
      <c r="G168" s="261"/>
      <c r="H168" s="2266"/>
      <c r="I168" s="359"/>
    </row>
    <row r="169" spans="1:9" x14ac:dyDescent="0.2">
      <c r="A169" s="1563"/>
      <c r="B169" s="2621"/>
      <c r="C169" s="595" t="str">
        <f>F!C319</f>
        <v>50-95%.</v>
      </c>
      <c r="D169" s="818">
        <f>F!D319</f>
        <v>0</v>
      </c>
      <c r="E169" s="93">
        <v>0</v>
      </c>
      <c r="F169" s="76">
        <f>D169*E169</f>
        <v>0</v>
      </c>
      <c r="G169" s="261"/>
      <c r="H169" s="2266"/>
      <c r="I169" s="359"/>
    </row>
    <row r="170" spans="1:9" ht="13.5" thickBot="1" x14ac:dyDescent="0.25">
      <c r="A170" s="1563"/>
      <c r="B170" s="2622"/>
      <c r="C170" s="590" t="str">
        <f>F!C320</f>
        <v>&gt;95% of the AA.</v>
      </c>
      <c r="D170" s="799">
        <f>F!D320</f>
        <v>0</v>
      </c>
      <c r="E170" s="95">
        <v>0</v>
      </c>
      <c r="F170" s="79">
        <f>D170*E170</f>
        <v>0</v>
      </c>
      <c r="G170" s="264"/>
      <c r="H170" s="2267"/>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20" t="str">
        <f>F!B337</f>
        <v>pH Measurement [PR, NR, CSP, APP, FA, FR, AM, WBN, Sens]</v>
      </c>
      <c r="C172" s="589" t="str">
        <f>F!C337</f>
        <v>The pH in most of the AA's surface water:</v>
      </c>
      <c r="D172" s="1405"/>
      <c r="E172" s="75"/>
      <c r="F172" s="78"/>
      <c r="G172" s="352">
        <f>IF((D175=1),"",IF((D174=1),0.2,IF((D173=""),"",IF((D173&lt;5),0, ""))))</f>
        <v>0.2</v>
      </c>
      <c r="H172" s="2271" t="s">
        <v>8945</v>
      </c>
      <c r="I172" s="384" t="s">
        <v>2237</v>
      </c>
    </row>
    <row r="173" spans="1:9" s="277" customFormat="1" ht="28.5" customHeight="1" thickBot="1" x14ac:dyDescent="0.25">
      <c r="A173" s="1563"/>
      <c r="B173" s="2621"/>
      <c r="C173" s="586" t="str">
        <f>F!C338</f>
        <v>Was measured, and is:  [enter the reading in the column to the right.]</v>
      </c>
      <c r="D173" s="1980" t="str">
        <f>IF((F!D338=""),"",F!D338)</f>
        <v/>
      </c>
      <c r="E173" s="86"/>
      <c r="F173" s="76"/>
      <c r="G173" s="243"/>
      <c r="H173" s="2266"/>
      <c r="I173" s="359"/>
    </row>
    <row r="174" spans="1:9" s="277" customFormat="1" ht="48.75" customHeight="1" x14ac:dyDescent="0.2">
      <c r="A174" s="1563"/>
      <c r="B174" s="2621"/>
      <c r="C174" s="587" t="str">
        <f>F!C339</f>
        <v xml:space="preserve">Was not measured but surface water is present and is darkly tea-coloured.  Or if no surface water, then mosses and plants that indicate peatland (e.g., Labrador tea) are prevalent. Enter "1". </v>
      </c>
      <c r="D174" s="797">
        <f>F!D339</f>
        <v>1</v>
      </c>
      <c r="E174" s="76"/>
      <c r="F174" s="76"/>
      <c r="G174" s="181"/>
      <c r="H174" s="2266"/>
      <c r="I174" s="359"/>
    </row>
    <row r="175" spans="1:9" s="277" customFormat="1" ht="27" customHeight="1" thickBot="1" x14ac:dyDescent="0.25">
      <c r="A175" s="1563"/>
      <c r="B175" s="2622"/>
      <c r="C175" s="590" t="str">
        <f>F!C340</f>
        <v>Neither of above. Enter "1".</v>
      </c>
      <c r="D175" s="799">
        <f>F!D340</f>
        <v>0</v>
      </c>
      <c r="E175" s="79"/>
      <c r="F175" s="79"/>
      <c r="G175" s="242"/>
      <c r="H175" s="2266"/>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25" t="str">
        <f>OF!A10</f>
        <v>OF2</v>
      </c>
      <c r="B179" s="262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v>
      </c>
      <c r="H179" s="2271" t="s">
        <v>2140</v>
      </c>
      <c r="I179" s="2572" t="s">
        <v>2239</v>
      </c>
    </row>
    <row r="180" spans="1:10" s="277" customFormat="1" ht="13.5" x14ac:dyDescent="0.2">
      <c r="A180" s="2625"/>
      <c r="B180" s="2627"/>
      <c r="C180" s="597" t="str">
        <f>OF!C11</f>
        <v>&lt;0.01 hectare (about 10 m x 10 m).</v>
      </c>
      <c r="D180" s="823">
        <f>OF!D11</f>
        <v>0</v>
      </c>
      <c r="E180" s="93">
        <v>6</v>
      </c>
      <c r="F180" s="76">
        <f t="shared" ref="F180:F185" si="9">D180*E180</f>
        <v>0</v>
      </c>
      <c r="G180" s="578"/>
      <c r="H180" s="2266"/>
      <c r="I180" s="2573"/>
    </row>
    <row r="181" spans="1:10" s="277" customFormat="1" ht="13.5" x14ac:dyDescent="0.2">
      <c r="A181" s="2625"/>
      <c r="B181" s="2627"/>
      <c r="C181" s="597" t="str">
        <f>OF!C12</f>
        <v>0.01 - 0.1 hectare.</v>
      </c>
      <c r="D181" s="823">
        <f>OF!D12</f>
        <v>0</v>
      </c>
      <c r="E181" s="93">
        <v>5</v>
      </c>
      <c r="F181" s="76">
        <f t="shared" si="9"/>
        <v>0</v>
      </c>
      <c r="G181" s="578"/>
      <c r="H181" s="2266"/>
      <c r="I181" s="2573"/>
    </row>
    <row r="182" spans="1:10" s="277" customFormat="1" ht="13.5" x14ac:dyDescent="0.2">
      <c r="A182" s="2625"/>
      <c r="B182" s="2627"/>
      <c r="C182" s="597" t="str">
        <f>OF!C13</f>
        <v>0.1 - 1 hectare.</v>
      </c>
      <c r="D182" s="823">
        <f>OF!D13</f>
        <v>0</v>
      </c>
      <c r="E182" s="93">
        <v>4</v>
      </c>
      <c r="F182" s="76">
        <f t="shared" si="9"/>
        <v>0</v>
      </c>
      <c r="G182" s="578"/>
      <c r="H182" s="2266"/>
      <c r="I182" s="2573"/>
    </row>
    <row r="183" spans="1:10" s="277" customFormat="1" ht="13.5" x14ac:dyDescent="0.2">
      <c r="A183" s="2625"/>
      <c r="B183" s="2627"/>
      <c r="C183" s="597" t="str">
        <f>OF!C14</f>
        <v>1 to 10 hectares.</v>
      </c>
      <c r="D183" s="823">
        <f>OF!D14</f>
        <v>0</v>
      </c>
      <c r="E183" s="93">
        <v>3</v>
      </c>
      <c r="F183" s="76">
        <f t="shared" si="9"/>
        <v>0</v>
      </c>
      <c r="G183" s="578"/>
      <c r="H183" s="2266"/>
      <c r="I183" s="2573"/>
    </row>
    <row r="184" spans="1:10" s="277" customFormat="1" ht="13.5" x14ac:dyDescent="0.2">
      <c r="A184" s="2625"/>
      <c r="B184" s="2627"/>
      <c r="C184" s="597" t="str">
        <f>OF!C15</f>
        <v>10 to 100 hectares.</v>
      </c>
      <c r="D184" s="823">
        <f>OF!D15</f>
        <v>0</v>
      </c>
      <c r="E184" s="93">
        <v>2</v>
      </c>
      <c r="F184" s="76">
        <f t="shared" si="9"/>
        <v>0</v>
      </c>
      <c r="G184" s="578"/>
      <c r="H184" s="2266"/>
      <c r="I184" s="2573"/>
    </row>
    <row r="185" spans="1:10" s="277" customFormat="1" ht="14.25" thickBot="1" x14ac:dyDescent="0.25">
      <c r="A185" s="2625"/>
      <c r="B185" s="2628"/>
      <c r="C185" s="1435" t="str">
        <f>OF!C16</f>
        <v>&gt;100 hectares.</v>
      </c>
      <c r="D185" s="1436">
        <f>OF!D16</f>
        <v>0</v>
      </c>
      <c r="E185" s="95">
        <v>0</v>
      </c>
      <c r="F185" s="79">
        <f t="shared" si="9"/>
        <v>0</v>
      </c>
      <c r="G185" s="1407"/>
      <c r="H185" s="2266"/>
      <c r="I185" s="2574"/>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2240</v>
      </c>
      <c r="I186" s="901" t="s">
        <v>2241</v>
      </c>
      <c r="J186" s="277"/>
    </row>
    <row r="187" spans="1:10" ht="27.75" thickBot="1" x14ac:dyDescent="0.25">
      <c r="A187" s="2625" t="str">
        <f>OF!A74</f>
        <v>OF13</v>
      </c>
      <c r="B187" s="262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266" t="s">
        <v>2242</v>
      </c>
      <c r="I187" s="2606" t="s">
        <v>2243</v>
      </c>
      <c r="J187" s="277"/>
    </row>
    <row r="188" spans="1:10" ht="27" x14ac:dyDescent="0.2">
      <c r="A188" s="2625"/>
      <c r="B188" s="262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266"/>
      <c r="I188" s="2607"/>
      <c r="J188" s="277"/>
    </row>
    <row r="189" spans="1:10" ht="13.5" x14ac:dyDescent="0.2">
      <c r="A189" s="2625"/>
      <c r="B189" s="2627"/>
      <c r="C189" s="597" t="str">
        <f>OF!C76</f>
        <v>&lt;50 m, but completely separated by those features.</v>
      </c>
      <c r="D189" s="825">
        <f>OF!D76</f>
        <v>0</v>
      </c>
      <c r="E189" s="93">
        <v>0</v>
      </c>
      <c r="F189" s="76">
        <f t="shared" si="10"/>
        <v>0</v>
      </c>
      <c r="G189" s="181"/>
      <c r="H189" s="2266"/>
      <c r="I189" s="2607"/>
      <c r="J189" s="277"/>
    </row>
    <row r="190" spans="1:10" ht="13.5" x14ac:dyDescent="0.2">
      <c r="A190" s="2625"/>
      <c r="B190" s="2627"/>
      <c r="C190" s="597" t="str">
        <f>OF!C77</f>
        <v>50-500 m, and not separated.</v>
      </c>
      <c r="D190" s="825">
        <f>OF!D77</f>
        <v>0</v>
      </c>
      <c r="E190" s="93">
        <v>1</v>
      </c>
      <c r="F190" s="76">
        <f t="shared" si="10"/>
        <v>0</v>
      </c>
      <c r="G190" s="181"/>
      <c r="H190" s="2266"/>
      <c r="I190" s="2607"/>
      <c r="J190" s="277"/>
    </row>
    <row r="191" spans="1:10" ht="13.5" x14ac:dyDescent="0.2">
      <c r="A191" s="2625"/>
      <c r="B191" s="2627"/>
      <c r="C191" s="597" t="str">
        <f>OF!C78</f>
        <v>50-500 m, but separated by those features.</v>
      </c>
      <c r="D191" s="825">
        <f>OF!D78</f>
        <v>0</v>
      </c>
      <c r="E191" s="93">
        <v>1</v>
      </c>
      <c r="F191" s="76">
        <f t="shared" si="10"/>
        <v>0</v>
      </c>
      <c r="G191" s="181"/>
      <c r="H191" s="2266"/>
      <c r="I191" s="2607"/>
      <c r="J191" s="277"/>
    </row>
    <row r="192" spans="1:10" ht="13.5" x14ac:dyDescent="0.2">
      <c r="A192" s="2625"/>
      <c r="B192" s="2627"/>
      <c r="C192" s="597" t="str">
        <f>OF!C79</f>
        <v>0.5 - 1 km, and not separated.</v>
      </c>
      <c r="D192" s="825">
        <f>OF!D79</f>
        <v>0</v>
      </c>
      <c r="E192" s="93">
        <v>2</v>
      </c>
      <c r="F192" s="76">
        <f t="shared" si="10"/>
        <v>0</v>
      </c>
      <c r="G192" s="181"/>
      <c r="H192" s="2266"/>
      <c r="I192" s="2607"/>
      <c r="J192" s="277"/>
    </row>
    <row r="193" spans="1:10" ht="13.5" x14ac:dyDescent="0.2">
      <c r="A193" s="2625"/>
      <c r="B193" s="2627"/>
      <c r="C193" s="597" t="str">
        <f>OF!C80</f>
        <v>0.5 - 1 km, but separated by those features.</v>
      </c>
      <c r="D193" s="825">
        <f>OF!D80</f>
        <v>0</v>
      </c>
      <c r="E193" s="93">
        <v>2</v>
      </c>
      <c r="F193" s="76">
        <f t="shared" si="10"/>
        <v>0</v>
      </c>
      <c r="G193" s="181"/>
      <c r="H193" s="2266"/>
      <c r="I193" s="2607"/>
      <c r="J193" s="277"/>
    </row>
    <row r="194" spans="1:10" ht="14.25" thickBot="1" x14ac:dyDescent="0.25">
      <c r="A194" s="2625"/>
      <c r="B194" s="2628"/>
      <c r="C194" s="1435" t="str">
        <f>OF!C81</f>
        <v>None of the above (the closest patches or corridors that large are &gt;1 km away).</v>
      </c>
      <c r="D194" s="1441">
        <f>OF!D81</f>
        <v>0</v>
      </c>
      <c r="E194" s="95">
        <v>4</v>
      </c>
      <c r="F194" s="79">
        <f t="shared" si="10"/>
        <v>0</v>
      </c>
      <c r="G194" s="242"/>
      <c r="H194" s="2267"/>
      <c r="I194" s="2608"/>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98" t="s">
        <v>1053</v>
      </c>
      <c r="D198" s="2611" t="s">
        <v>2247</v>
      </c>
      <c r="E198" s="2612"/>
      <c r="F198" s="2613"/>
      <c r="G198" s="655">
        <f>AVERAGE(PondPct13,Gradient13, MAX(SeasWpct, PermWpct13), AVERAGE(SatPct13,Depth13, DepthEven13, Fluctu13, Fringe13))</f>
        <v>0</v>
      </c>
      <c r="H198" s="656" t="s">
        <v>2248</v>
      </c>
      <c r="I198" s="322" t="s">
        <v>2249</v>
      </c>
      <c r="J198" s="297" t="s">
        <v>2250</v>
      </c>
    </row>
    <row r="199" spans="1:10" ht="51" x14ac:dyDescent="0.2">
      <c r="A199" s="10"/>
      <c r="B199" s="10"/>
      <c r="C199" s="2399"/>
      <c r="D199" s="2552" t="s">
        <v>1834</v>
      </c>
      <c r="E199" s="2553"/>
      <c r="F199" s="2554"/>
      <c r="G199" s="657">
        <f>IF((AllSat1=1),"",AVERAGE(Wettype13,EmRobust13,AVERAGE(Interspers13,Island13,Burned13,ShoreSlope13,AqPlantCov13,EmPct13,TreeForm13,SnagB13,VwidthAbs13)))</f>
        <v>0</v>
      </c>
      <c r="H199" s="658" t="s">
        <v>8571</v>
      </c>
      <c r="I199" s="323" t="s">
        <v>2251</v>
      </c>
      <c r="J199" s="496" t="s">
        <v>2252</v>
      </c>
    </row>
    <row r="200" spans="1:10" ht="24.75" customHeight="1" x14ac:dyDescent="0.2">
      <c r="A200" s="10"/>
      <c r="B200" s="10"/>
      <c r="C200" s="2399"/>
      <c r="D200" s="2552" t="s">
        <v>1923</v>
      </c>
      <c r="E200" s="2553"/>
      <c r="F200" s="2554"/>
      <c r="G200" s="657" t="e">
        <f>AVERAGE(RareWBN,APPscore13)</f>
        <v>#VALUE!</v>
      </c>
      <c r="H200" s="658" t="s">
        <v>8570</v>
      </c>
      <c r="I200" s="323" t="s">
        <v>2253</v>
      </c>
      <c r="J200" s="295" t="s">
        <v>2159</v>
      </c>
    </row>
    <row r="201" spans="1:10" ht="38.25" x14ac:dyDescent="0.2">
      <c r="A201" s="10"/>
      <c r="B201" s="10"/>
      <c r="C201" s="2399"/>
      <c r="D201" s="2552" t="s">
        <v>2027</v>
      </c>
      <c r="E201" s="2553"/>
      <c r="F201" s="2554"/>
      <c r="G201" s="657" t="str">
        <f>IF((Fen_+Marsh=0),"",AVERAGE(SizeHerbac13,Bduck13,Lacus13a,LakeProx13,Beaver13,PondProx13))</f>
        <v/>
      </c>
      <c r="H201" s="658" t="s">
        <v>2254</v>
      </c>
      <c r="I201" s="674" t="s">
        <v>2255</v>
      </c>
      <c r="J201" s="295" t="s">
        <v>2256</v>
      </c>
    </row>
    <row r="202" spans="1:10" ht="38.25" x14ac:dyDescent="0.2">
      <c r="A202" s="10"/>
      <c r="B202" s="10"/>
      <c r="C202" s="2399"/>
      <c r="D202" s="2576" t="s">
        <v>1838</v>
      </c>
      <c r="E202" s="2577"/>
      <c r="F202" s="2577"/>
      <c r="G202" s="657" t="str">
        <f>IF((Fen_+Marsh=0),"",AVERAGE(BuffNatPct13,RdDis13))</f>
        <v/>
      </c>
      <c r="H202" s="658" t="s">
        <v>2257</v>
      </c>
      <c r="I202" s="323" t="s">
        <v>2258</v>
      </c>
      <c r="J202" s="1" t="s">
        <v>2259</v>
      </c>
    </row>
    <row r="203" spans="1:10" ht="26.25" thickBot="1" x14ac:dyDescent="0.25">
      <c r="A203" s="10"/>
      <c r="B203" s="10"/>
      <c r="C203" s="2400"/>
      <c r="D203" s="2578" t="s">
        <v>2031</v>
      </c>
      <c r="E203" s="2579"/>
      <c r="F203" s="2579"/>
      <c r="G203" s="415">
        <f>AVERAGE(Core1_13,Core2_13, _BMP13, toxics13,Acidic13,BuffNatPct13,RdDis13, Fishless13, Noise13)</f>
        <v>0.15</v>
      </c>
      <c r="H203" s="660" t="s">
        <v>8572</v>
      </c>
      <c r="I203" s="324" t="s">
        <v>2260</v>
      </c>
      <c r="J203" s="298" t="s">
        <v>2261</v>
      </c>
    </row>
    <row r="204" spans="1:10" ht="51.75" customHeight="1" thickBot="1" x14ac:dyDescent="0.25">
      <c r="A204" s="10"/>
      <c r="B204" s="289"/>
      <c r="C204" s="382" t="s">
        <v>1728</v>
      </c>
      <c r="D204" s="552"/>
      <c r="E204" s="383"/>
      <c r="F204" s="351" t="s">
        <v>988</v>
      </c>
      <c r="G204" s="1366">
        <f>IF((AllSat1&gt;0),0, IF((TooSteep13=1),0, IF((EmPct13=0),0, 10*((3*AVERAGE(Struc13,Produc13) + 2*AVERAGE(Hydro13,Wscape) + Stressors13)/6))))</f>
        <v>0</v>
      </c>
      <c r="H204" s="2288" t="s">
        <v>8573</v>
      </c>
      <c r="I204" s="2289"/>
      <c r="J204" s="498" t="s">
        <v>2262</v>
      </c>
    </row>
    <row r="205" spans="1:10" ht="39" thickBot="1" x14ac:dyDescent="0.25">
      <c r="A205" s="10"/>
      <c r="B205" s="289"/>
      <c r="C205" s="382" t="s">
        <v>2263</v>
      </c>
      <c r="D205" s="552"/>
      <c r="E205" s="383"/>
      <c r="F205" s="351" t="s">
        <v>991</v>
      </c>
      <c r="G205" s="1367">
        <f>10*(IF((Rare13=1), 1,IF(( _IBA13=1),1, MAX(DistPond13,HerbUniq13, PondArea1k13))))</f>
        <v>0</v>
      </c>
      <c r="H205" s="2288" t="s">
        <v>8574</v>
      </c>
      <c r="I205" s="228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H154:H158"/>
    <mergeCell ref="B154:B158"/>
    <mergeCell ref="I154:I158"/>
    <mergeCell ref="A154:A158"/>
    <mergeCell ref="H179:H185"/>
    <mergeCell ref="B179:B185"/>
    <mergeCell ref="I179:I185"/>
    <mergeCell ref="A179:A185"/>
    <mergeCell ref="H172:H175"/>
    <mergeCell ref="H159:H165"/>
    <mergeCell ref="H166:H170"/>
    <mergeCell ref="B172:B175"/>
    <mergeCell ref="D198:F198"/>
    <mergeCell ref="C198:C203"/>
    <mergeCell ref="D199:F199"/>
    <mergeCell ref="D200:F200"/>
    <mergeCell ref="D201:F201"/>
    <mergeCell ref="D203:F203"/>
    <mergeCell ref="D202:F202"/>
    <mergeCell ref="A70:A75"/>
    <mergeCell ref="A76:A81"/>
    <mergeCell ref="A82:A88"/>
    <mergeCell ref="A39:A45"/>
    <mergeCell ref="A46:A54"/>
    <mergeCell ref="A55:A60"/>
    <mergeCell ref="A61:A65"/>
    <mergeCell ref="A66:A69"/>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H25:H31"/>
    <mergeCell ref="H107:H112"/>
    <mergeCell ref="H32:H36"/>
    <mergeCell ref="H39:H45"/>
    <mergeCell ref="H82:H88"/>
    <mergeCell ref="H76:H81"/>
    <mergeCell ref="H61:H65"/>
    <mergeCell ref="H70:H75"/>
    <mergeCell ref="H91:H96"/>
    <mergeCell ref="H97:H102"/>
    <mergeCell ref="H103:H106"/>
    <mergeCell ref="H139:H142"/>
    <mergeCell ref="H143:H147"/>
    <mergeCell ref="H148:H153"/>
    <mergeCell ref="H113:H119"/>
    <mergeCell ref="H120:H126"/>
    <mergeCell ref="H127:H132"/>
    <mergeCell ref="H133:H136"/>
    <mergeCell ref="B107:B112"/>
    <mergeCell ref="B103:B106"/>
    <mergeCell ref="B97:B102"/>
    <mergeCell ref="B70:B75"/>
    <mergeCell ref="B82:B88"/>
    <mergeCell ref="B76:B81"/>
    <mergeCell ref="B91:B96"/>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16" t="s">
        <v>2279</v>
      </c>
      <c r="B1" s="2417"/>
      <c r="C1" s="482" t="s">
        <v>2280</v>
      </c>
      <c r="D1" s="52" t="s">
        <v>2281</v>
      </c>
      <c r="E1" s="2408"/>
      <c r="F1" s="2638"/>
      <c r="G1" s="2638"/>
      <c r="H1" s="2638"/>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79" t="str">
        <f>OF!A18</f>
        <v>OF3</v>
      </c>
      <c r="B3" s="250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v>
      </c>
      <c r="H3" s="2252" t="s">
        <v>2282</v>
      </c>
      <c r="I3" s="2252" t="s">
        <v>2283</v>
      </c>
    </row>
    <row r="4" spans="1:9" x14ac:dyDescent="0.2">
      <c r="A4" s="2280"/>
      <c r="B4" s="2506"/>
      <c r="C4" s="700" t="str">
        <f>OF!C19</f>
        <v>&lt;0.01 hectare (about 10 m x 10 m).</v>
      </c>
      <c r="D4" s="399">
        <f>OF!D19</f>
        <v>0</v>
      </c>
      <c r="E4" s="76">
        <v>0</v>
      </c>
      <c r="F4" s="76">
        <f t="shared" ref="F4:F9" si="0">D4*E4</f>
        <v>0</v>
      </c>
      <c r="G4" s="192"/>
      <c r="H4" s="2253"/>
      <c r="I4" s="2253"/>
    </row>
    <row r="5" spans="1:9" x14ac:dyDescent="0.2">
      <c r="A5" s="2280"/>
      <c r="B5" s="2506"/>
      <c r="C5" s="700" t="str">
        <f>OF!C20</f>
        <v>0.01 - 0.1 hectare.</v>
      </c>
      <c r="D5" s="399">
        <f>OF!D20</f>
        <v>0</v>
      </c>
      <c r="E5" s="76">
        <v>2</v>
      </c>
      <c r="F5" s="76">
        <f t="shared" si="0"/>
        <v>0</v>
      </c>
      <c r="G5" s="192"/>
      <c r="H5" s="2253"/>
      <c r="I5" s="2253"/>
    </row>
    <row r="6" spans="1:9" x14ac:dyDescent="0.2">
      <c r="A6" s="2280"/>
      <c r="B6" s="2506"/>
      <c r="C6" s="700" t="str">
        <f>OF!C21</f>
        <v>0.1 - 1 hectare.</v>
      </c>
      <c r="D6" s="399">
        <f>OF!D21</f>
        <v>0</v>
      </c>
      <c r="E6" s="76">
        <v>3</v>
      </c>
      <c r="F6" s="76">
        <f t="shared" si="0"/>
        <v>0</v>
      </c>
      <c r="G6" s="192"/>
      <c r="H6" s="2253"/>
      <c r="I6" s="2253"/>
    </row>
    <row r="7" spans="1:9" x14ac:dyDescent="0.2">
      <c r="A7" s="2280"/>
      <c r="B7" s="2506"/>
      <c r="C7" s="700" t="str">
        <f>OF!C22</f>
        <v>1 to 10 hectares.</v>
      </c>
      <c r="D7" s="399">
        <f>OF!D22</f>
        <v>0</v>
      </c>
      <c r="E7" s="76">
        <v>4</v>
      </c>
      <c r="F7" s="76">
        <f t="shared" si="0"/>
        <v>0</v>
      </c>
      <c r="G7" s="192"/>
      <c r="H7" s="2253"/>
      <c r="I7" s="2253"/>
    </row>
    <row r="8" spans="1:9" x14ac:dyDescent="0.2">
      <c r="A8" s="2280"/>
      <c r="B8" s="2506"/>
      <c r="C8" s="700" t="str">
        <f>OF!C23</f>
        <v>10 to 100 hectares.</v>
      </c>
      <c r="D8" s="399">
        <f>OF!D23</f>
        <v>0</v>
      </c>
      <c r="E8" s="76">
        <v>5</v>
      </c>
      <c r="F8" s="76">
        <f t="shared" si="0"/>
        <v>0</v>
      </c>
      <c r="G8" s="192"/>
      <c r="H8" s="2253"/>
      <c r="I8" s="2253"/>
    </row>
    <row r="9" spans="1:9" ht="13.5" thickBot="1" x14ac:dyDescent="0.25">
      <c r="A9" s="2281"/>
      <c r="B9" s="2507"/>
      <c r="C9" s="696" t="str">
        <f>OF!C24</f>
        <v>&gt;100 hectares.</v>
      </c>
      <c r="D9" s="400">
        <f>OF!D24</f>
        <v>0</v>
      </c>
      <c r="E9" s="77">
        <v>7</v>
      </c>
      <c r="F9" s="77">
        <f t="shared" si="0"/>
        <v>0</v>
      </c>
      <c r="G9" s="193"/>
      <c r="H9" s="2253"/>
      <c r="I9" s="2254"/>
    </row>
    <row r="10" spans="1:9" ht="51" customHeight="1" thickBot="1" x14ac:dyDescent="0.25">
      <c r="A10" s="2514"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v>
      </c>
      <c r="H10" s="2334" t="s">
        <v>8946</v>
      </c>
      <c r="I10" s="2271" t="s">
        <v>2284</v>
      </c>
    </row>
    <row r="11" spans="1:9" ht="24.75" customHeight="1" x14ac:dyDescent="0.2">
      <c r="A11" s="2280"/>
      <c r="B11" s="2544"/>
      <c r="C11" s="150" t="str">
        <f>OF!C26</f>
        <v>&lt;0.01 hectare (about 10 m x 10 m).</v>
      </c>
      <c r="D11" s="401">
        <f>OF!D26</f>
        <v>0</v>
      </c>
      <c r="E11" s="76">
        <v>0</v>
      </c>
      <c r="F11" s="76">
        <f t="shared" ref="F11:F17" si="1">D11*E11</f>
        <v>0</v>
      </c>
      <c r="G11" s="191"/>
      <c r="H11" s="2332"/>
      <c r="I11" s="2266"/>
    </row>
    <row r="12" spans="1:9" ht="24.75" customHeight="1" x14ac:dyDescent="0.2">
      <c r="A12" s="2280"/>
      <c r="B12" s="2544"/>
      <c r="C12" s="281" t="str">
        <f>OF!C27</f>
        <v>0.01 - 0.1 hectare.</v>
      </c>
      <c r="D12" s="558">
        <f>OF!D27</f>
        <v>0</v>
      </c>
      <c r="E12" s="76">
        <v>1</v>
      </c>
      <c r="F12" s="76">
        <f t="shared" si="1"/>
        <v>0</v>
      </c>
      <c r="G12" s="192"/>
      <c r="H12" s="2332"/>
      <c r="I12" s="2266"/>
    </row>
    <row r="13" spans="1:9" ht="24.75" customHeight="1" x14ac:dyDescent="0.2">
      <c r="A13" s="2280"/>
      <c r="B13" s="2544"/>
      <c r="C13" s="281" t="str">
        <f>OF!C28</f>
        <v>0.1 - 1 hectare.</v>
      </c>
      <c r="D13" s="558">
        <f>OF!D28</f>
        <v>0</v>
      </c>
      <c r="E13" s="76">
        <v>2</v>
      </c>
      <c r="F13" s="76">
        <f t="shared" si="1"/>
        <v>0</v>
      </c>
      <c r="G13" s="192"/>
      <c r="H13" s="2332"/>
      <c r="I13" s="2266"/>
    </row>
    <row r="14" spans="1:9" ht="24.75" customHeight="1" x14ac:dyDescent="0.2">
      <c r="A14" s="2280"/>
      <c r="B14" s="2544"/>
      <c r="C14" s="878" t="str">
        <f>OF!C29</f>
        <v>1 to 10 hectares.</v>
      </c>
      <c r="D14" s="1445">
        <f>OF!D29</f>
        <v>0</v>
      </c>
      <c r="E14" s="76">
        <v>4</v>
      </c>
      <c r="F14" s="76">
        <f t="shared" si="1"/>
        <v>0</v>
      </c>
      <c r="G14" s="192"/>
      <c r="H14" s="2332"/>
      <c r="I14" s="2266"/>
    </row>
    <row r="15" spans="1:9" ht="24.75" customHeight="1" x14ac:dyDescent="0.2">
      <c r="A15" s="2280"/>
      <c r="B15" s="2544"/>
      <c r="C15" s="878" t="str">
        <f>OF!C30</f>
        <v>10 to 100 hectares.</v>
      </c>
      <c r="D15" s="1445">
        <f>OF!D30</f>
        <v>0</v>
      </c>
      <c r="E15" s="76">
        <v>6</v>
      </c>
      <c r="F15" s="76">
        <f t="shared" si="1"/>
        <v>0</v>
      </c>
      <c r="G15" s="192"/>
      <c r="H15" s="2332"/>
      <c r="I15" s="2266"/>
    </row>
    <row r="16" spans="1:9" ht="24.75" customHeight="1" x14ac:dyDescent="0.2">
      <c r="A16" s="2280"/>
      <c r="B16" s="2544"/>
      <c r="C16" s="878" t="str">
        <f>OF!C31</f>
        <v>100 to 1000 hectares.</v>
      </c>
      <c r="D16" s="1445">
        <f>OF!D31</f>
        <v>0</v>
      </c>
      <c r="E16" s="76">
        <v>7</v>
      </c>
      <c r="F16" s="76">
        <f t="shared" si="1"/>
        <v>0</v>
      </c>
      <c r="G16" s="192"/>
      <c r="H16" s="2332"/>
      <c r="I16" s="2266"/>
    </row>
    <row r="17" spans="1:9" ht="25.5" customHeight="1" thickBot="1" x14ac:dyDescent="0.25">
      <c r="A17" s="2281"/>
      <c r="B17" s="2545"/>
      <c r="C17" s="879" t="str">
        <f>OF!C32</f>
        <v>&gt;1000 hectares. [This is nearly always the answer in relatively undeveloped landscapes.]</v>
      </c>
      <c r="D17" s="1447">
        <f>OF!D32</f>
        <v>0</v>
      </c>
      <c r="E17" s="77">
        <v>9</v>
      </c>
      <c r="F17" s="77">
        <f t="shared" si="1"/>
        <v>0</v>
      </c>
      <c r="G17" s="193"/>
      <c r="H17" s="2333"/>
      <c r="I17" s="2267"/>
    </row>
    <row r="18" spans="1:9" ht="39" thickBot="1" x14ac:dyDescent="0.25">
      <c r="A18" s="2639" t="str">
        <f>OF!A33</f>
        <v>OF5</v>
      </c>
      <c r="B18" s="2588"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v>
      </c>
      <c r="H18" s="2332" t="s">
        <v>8947</v>
      </c>
      <c r="I18" s="2252" t="s">
        <v>2285</v>
      </c>
    </row>
    <row r="19" spans="1:9" ht="43.5" customHeight="1" x14ac:dyDescent="0.2">
      <c r="A19" s="2277"/>
      <c r="B19" s="2544"/>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32"/>
      <c r="I19" s="2253"/>
    </row>
    <row r="20" spans="1:9" ht="25.5" x14ac:dyDescent="0.2">
      <c r="A20" s="2277"/>
      <c r="B20" s="2544"/>
      <c r="C20" s="281" t="str">
        <f>OF!C35</f>
        <v>&lt;50 m, but completely separated from the 375-ha vegetated area by those features, and AA does not contain &gt;375 ha of vegetation.</v>
      </c>
      <c r="D20" s="558">
        <f>OF!D35</f>
        <v>0</v>
      </c>
      <c r="E20" s="76">
        <v>6</v>
      </c>
      <c r="F20" s="76">
        <f t="shared" si="2"/>
        <v>0</v>
      </c>
      <c r="G20" s="192"/>
      <c r="H20" s="2332"/>
      <c r="I20" s="2253"/>
    </row>
    <row r="21" spans="1:9" x14ac:dyDescent="0.2">
      <c r="A21" s="2277"/>
      <c r="B21" s="2544"/>
      <c r="C21" s="281" t="str">
        <f>OF!C36</f>
        <v>50-500 m, and not separated.</v>
      </c>
      <c r="D21" s="558">
        <f>OF!D36</f>
        <v>0</v>
      </c>
      <c r="E21" s="76">
        <v>5</v>
      </c>
      <c r="F21" s="76">
        <f t="shared" si="2"/>
        <v>0</v>
      </c>
      <c r="G21" s="192"/>
      <c r="H21" s="2332"/>
      <c r="I21" s="2253"/>
    </row>
    <row r="22" spans="1:9" x14ac:dyDescent="0.2">
      <c r="A22" s="2277"/>
      <c r="B22" s="2544"/>
      <c r="C22" s="281" t="str">
        <f>OF!C37</f>
        <v>50-500 m, but separated by those features.</v>
      </c>
      <c r="D22" s="558">
        <f>OF!D37</f>
        <v>0</v>
      </c>
      <c r="E22" s="76">
        <v>4</v>
      </c>
      <c r="F22" s="76">
        <f t="shared" si="2"/>
        <v>0</v>
      </c>
      <c r="G22" s="192"/>
      <c r="H22" s="2332"/>
      <c r="I22" s="2253"/>
    </row>
    <row r="23" spans="1:9" x14ac:dyDescent="0.2">
      <c r="A23" s="2277"/>
      <c r="B23" s="2544"/>
      <c r="C23" s="281" t="str">
        <f>OF!C38</f>
        <v>0.5 - 5 km, and not separated.</v>
      </c>
      <c r="D23" s="558">
        <f>OF!D38</f>
        <v>0</v>
      </c>
      <c r="E23" s="76">
        <v>3</v>
      </c>
      <c r="F23" s="76">
        <f t="shared" si="2"/>
        <v>0</v>
      </c>
      <c r="G23" s="192"/>
      <c r="H23" s="2332"/>
      <c r="I23" s="2253"/>
    </row>
    <row r="24" spans="1:9" x14ac:dyDescent="0.2">
      <c r="A24" s="2277"/>
      <c r="B24" s="2544"/>
      <c r="C24" s="281" t="str">
        <f>OF!C39</f>
        <v>0.5 - 5 km, but separated by those features.</v>
      </c>
      <c r="D24" s="558">
        <f>OF!D39</f>
        <v>0</v>
      </c>
      <c r="E24" s="76">
        <v>2</v>
      </c>
      <c r="F24" s="76">
        <f t="shared" si="2"/>
        <v>0</v>
      </c>
      <c r="G24" s="192"/>
      <c r="H24" s="2332"/>
      <c r="I24" s="2253"/>
    </row>
    <row r="25" spans="1:9" ht="13.5" thickBot="1" x14ac:dyDescent="0.25">
      <c r="A25" s="2277"/>
      <c r="B25" s="2589"/>
      <c r="C25" s="151" t="str">
        <f>OF!C40</f>
        <v>None of the above (the closest patches or corridors which are that large are &gt;5 km away).</v>
      </c>
      <c r="D25" s="557">
        <f>OF!D40</f>
        <v>0</v>
      </c>
      <c r="E25" s="79">
        <v>0</v>
      </c>
      <c r="F25" s="79">
        <f t="shared" si="2"/>
        <v>0</v>
      </c>
      <c r="G25" s="211"/>
      <c r="H25" s="2333"/>
      <c r="I25" s="2254"/>
    </row>
    <row r="26" spans="1:9" ht="51.75" thickBot="1" x14ac:dyDescent="0.25">
      <c r="A26" s="2279"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v>
      </c>
      <c r="H26" s="2334" t="s">
        <v>2286</v>
      </c>
      <c r="I26" s="2271" t="s">
        <v>2287</v>
      </c>
    </row>
    <row r="27" spans="1:9" x14ac:dyDescent="0.2">
      <c r="A27" s="2280"/>
      <c r="B27" s="2544"/>
      <c r="C27" s="2" t="str">
        <f>OF!C47</f>
        <v xml:space="preserve">&lt;5% of the land. </v>
      </c>
      <c r="D27" s="479">
        <f>OF!D47</f>
        <v>0</v>
      </c>
      <c r="E27" s="76">
        <v>0</v>
      </c>
      <c r="F27" s="76">
        <f>D27*E27</f>
        <v>0</v>
      </c>
      <c r="G27" s="191"/>
      <c r="H27" s="2332"/>
      <c r="I27" s="2266"/>
    </row>
    <row r="28" spans="1:9" x14ac:dyDescent="0.2">
      <c r="A28" s="2280"/>
      <c r="B28" s="2544"/>
      <c r="C28" s="151" t="str">
        <f>OF!C48</f>
        <v>5 to 20% of the land.</v>
      </c>
      <c r="D28" s="557">
        <f>OF!D48</f>
        <v>0</v>
      </c>
      <c r="E28" s="76">
        <v>1</v>
      </c>
      <c r="F28" s="76">
        <f>D28*E28</f>
        <v>0</v>
      </c>
      <c r="G28" s="192"/>
      <c r="H28" s="2332"/>
      <c r="I28" s="2266"/>
    </row>
    <row r="29" spans="1:9" x14ac:dyDescent="0.2">
      <c r="A29" s="2280"/>
      <c r="B29" s="2544"/>
      <c r="C29" s="151" t="str">
        <f>OF!C49</f>
        <v>20 to 60% of the land.</v>
      </c>
      <c r="D29" s="557">
        <f>OF!D49</f>
        <v>0</v>
      </c>
      <c r="E29" s="76">
        <v>2</v>
      </c>
      <c r="F29" s="76">
        <f>D29*E29</f>
        <v>0</v>
      </c>
      <c r="G29" s="192"/>
      <c r="H29" s="2332"/>
      <c r="I29" s="2266"/>
    </row>
    <row r="30" spans="1:9" x14ac:dyDescent="0.2">
      <c r="A30" s="2280"/>
      <c r="B30" s="2544"/>
      <c r="C30" s="151" t="str">
        <f>OF!C50</f>
        <v>60 to 90% of the land.</v>
      </c>
      <c r="D30" s="557">
        <f>OF!D50</f>
        <v>0</v>
      </c>
      <c r="E30" s="76">
        <v>4</v>
      </c>
      <c r="F30" s="76">
        <f>D30*E30</f>
        <v>0</v>
      </c>
      <c r="G30" s="192"/>
      <c r="H30" s="2332"/>
      <c r="I30" s="2266"/>
    </row>
    <row r="31" spans="1:9" ht="13.5" thickBot="1" x14ac:dyDescent="0.25">
      <c r="A31" s="2281"/>
      <c r="B31" s="2545"/>
      <c r="C31" s="249" t="str">
        <f>OF!C51</f>
        <v xml:space="preserve">&gt;90% of the land. </v>
      </c>
      <c r="D31" s="794">
        <f>OF!D51</f>
        <v>0</v>
      </c>
      <c r="E31" s="77">
        <v>6</v>
      </c>
      <c r="F31" s="77">
        <f>D31*E31</f>
        <v>0</v>
      </c>
      <c r="G31" s="193"/>
      <c r="H31" s="2333"/>
      <c r="I31" s="2267"/>
    </row>
    <row r="32" spans="1:9" ht="26.25" thickBot="1" x14ac:dyDescent="0.25">
      <c r="A32" s="2514" t="str">
        <f>OF!A53</f>
        <v>OF9</v>
      </c>
      <c r="B32" s="2511"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v>
      </c>
      <c r="H32" s="2252" t="s">
        <v>2288</v>
      </c>
      <c r="I32" s="2271" t="s">
        <v>2289</v>
      </c>
    </row>
    <row r="33" spans="1:9" x14ac:dyDescent="0.2">
      <c r="A33" s="2514"/>
      <c r="B33" s="2512"/>
      <c r="C33" s="1375" t="str">
        <f>OF!C54</f>
        <v>&lt;100 m.</v>
      </c>
      <c r="D33" s="818">
        <f>OF!D54</f>
        <v>0</v>
      </c>
      <c r="E33" s="76">
        <v>0</v>
      </c>
      <c r="F33" s="94">
        <f>D33*E33</f>
        <v>0</v>
      </c>
      <c r="G33" s="191"/>
      <c r="H33" s="2253"/>
      <c r="I33" s="2266"/>
    </row>
    <row r="34" spans="1:9" x14ac:dyDescent="0.2">
      <c r="A34" s="2514"/>
      <c r="B34" s="2512"/>
      <c r="C34" s="591" t="str">
        <f>OF!C55</f>
        <v>100 - 500 m.</v>
      </c>
      <c r="D34" s="799">
        <f>OF!D55</f>
        <v>0</v>
      </c>
      <c r="E34" s="76">
        <v>2</v>
      </c>
      <c r="F34" s="94">
        <f>D34*E34</f>
        <v>0</v>
      </c>
      <c r="G34" s="192"/>
      <c r="H34" s="2253"/>
      <c r="I34" s="2266"/>
    </row>
    <row r="35" spans="1:9" x14ac:dyDescent="0.2">
      <c r="A35" s="2514"/>
      <c r="B35" s="2512"/>
      <c r="C35" s="591" t="str">
        <f>OF!C56</f>
        <v>0.5- 1 km.</v>
      </c>
      <c r="D35" s="799">
        <f>OF!D56</f>
        <v>0</v>
      </c>
      <c r="E35" s="76">
        <v>3</v>
      </c>
      <c r="F35" s="94">
        <f>D35*E35</f>
        <v>0</v>
      </c>
      <c r="G35" s="192"/>
      <c r="H35" s="2253"/>
      <c r="I35" s="2266"/>
    </row>
    <row r="36" spans="1:9" x14ac:dyDescent="0.2">
      <c r="A36" s="2514"/>
      <c r="B36" s="2512"/>
      <c r="C36" s="591" t="str">
        <f>OF!C57</f>
        <v>1 - 5 km.</v>
      </c>
      <c r="D36" s="799">
        <f>OF!D57</f>
        <v>0</v>
      </c>
      <c r="E36" s="76">
        <v>5</v>
      </c>
      <c r="F36" s="94">
        <f>D36*E36</f>
        <v>0</v>
      </c>
      <c r="G36" s="192"/>
      <c r="H36" s="2253"/>
      <c r="I36" s="2266"/>
    </row>
    <row r="37" spans="1:9" ht="13.5" thickBot="1" x14ac:dyDescent="0.25">
      <c r="A37" s="2514"/>
      <c r="B37" s="2513"/>
      <c r="C37" s="591" t="str">
        <f>OF!C58</f>
        <v>&gt;5 km.</v>
      </c>
      <c r="D37" s="799">
        <f>OF!D58</f>
        <v>0</v>
      </c>
      <c r="E37" s="79">
        <v>8</v>
      </c>
      <c r="F37" s="96">
        <f>D37*E37</f>
        <v>0</v>
      </c>
      <c r="G37" s="211"/>
      <c r="H37" s="2254"/>
      <c r="I37" s="2267"/>
    </row>
    <row r="38" spans="1:9" ht="26.25" thickBot="1" x14ac:dyDescent="0.25">
      <c r="A38" s="2279" t="str">
        <f>OF!A65</f>
        <v>OF11</v>
      </c>
      <c r="B38" s="2543"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v>
      </c>
      <c r="H38" s="2334" t="s">
        <v>8948</v>
      </c>
      <c r="I38" s="2271" t="s">
        <v>2290</v>
      </c>
    </row>
    <row r="39" spans="1:9" x14ac:dyDescent="0.2">
      <c r="A39" s="2280"/>
      <c r="B39" s="2544"/>
      <c r="C39" s="150" t="str">
        <f>OF!C66</f>
        <v>&lt;10 m.</v>
      </c>
      <c r="D39" s="401">
        <f>OF!D66</f>
        <v>0</v>
      </c>
      <c r="E39" s="76">
        <v>0</v>
      </c>
      <c r="F39" s="76">
        <f t="shared" ref="F39:F44" si="3">D39*E39</f>
        <v>0</v>
      </c>
      <c r="G39" s="191"/>
      <c r="H39" s="2332"/>
      <c r="I39" s="2266"/>
    </row>
    <row r="40" spans="1:9" x14ac:dyDescent="0.2">
      <c r="A40" s="2280"/>
      <c r="B40" s="2544"/>
      <c r="C40" s="281" t="str">
        <f>OF!C67</f>
        <v>10 - 25 m.</v>
      </c>
      <c r="D40" s="558">
        <f>OF!D67</f>
        <v>0</v>
      </c>
      <c r="E40" s="76">
        <v>2</v>
      </c>
      <c r="F40" s="76">
        <f t="shared" si="3"/>
        <v>0</v>
      </c>
      <c r="G40" s="192"/>
      <c r="H40" s="2332"/>
      <c r="I40" s="2266"/>
    </row>
    <row r="41" spans="1:9" x14ac:dyDescent="0.2">
      <c r="A41" s="2280"/>
      <c r="B41" s="2544"/>
      <c r="C41" s="281" t="str">
        <f>OF!C68</f>
        <v>25 - 50 m.</v>
      </c>
      <c r="D41" s="558">
        <f>OF!D68</f>
        <v>0</v>
      </c>
      <c r="E41" s="76">
        <v>4</v>
      </c>
      <c r="F41" s="76">
        <f t="shared" si="3"/>
        <v>0</v>
      </c>
      <c r="G41" s="192"/>
      <c r="H41" s="2332"/>
      <c r="I41" s="2266"/>
    </row>
    <row r="42" spans="1:9" x14ac:dyDescent="0.2">
      <c r="A42" s="2280"/>
      <c r="B42" s="2544"/>
      <c r="C42" s="281" t="str">
        <f>OF!C69</f>
        <v>50 - 100 m.</v>
      </c>
      <c r="D42" s="558">
        <f>OF!D69</f>
        <v>0</v>
      </c>
      <c r="E42" s="76">
        <v>5</v>
      </c>
      <c r="F42" s="76">
        <f t="shared" si="3"/>
        <v>0</v>
      </c>
      <c r="G42" s="192"/>
      <c r="H42" s="2332"/>
      <c r="I42" s="2266"/>
    </row>
    <row r="43" spans="1:9" x14ac:dyDescent="0.2">
      <c r="A43" s="2280"/>
      <c r="B43" s="2544"/>
      <c r="C43" s="281" t="str">
        <f>OF!C70</f>
        <v>100 - 500 m.</v>
      </c>
      <c r="D43" s="558">
        <f>OF!D70</f>
        <v>0</v>
      </c>
      <c r="E43" s="76">
        <v>6</v>
      </c>
      <c r="F43" s="76">
        <f t="shared" si="3"/>
        <v>0</v>
      </c>
      <c r="G43" s="192"/>
      <c r="H43" s="2332"/>
      <c r="I43" s="2266"/>
    </row>
    <row r="44" spans="1:9" ht="13.5" thickBot="1" x14ac:dyDescent="0.25">
      <c r="A44" s="2281"/>
      <c r="B44" s="2545"/>
      <c r="C44" s="249" t="str">
        <f>OF!C71</f>
        <v>&gt;500 m.</v>
      </c>
      <c r="D44" s="794">
        <f>OF!D71</f>
        <v>0</v>
      </c>
      <c r="E44" s="77">
        <v>8</v>
      </c>
      <c r="F44" s="77">
        <f t="shared" si="3"/>
        <v>0</v>
      </c>
      <c r="G44" s="193"/>
      <c r="H44" s="2333"/>
      <c r="I44" s="2267"/>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2291</v>
      </c>
      <c r="I45" s="48" t="s">
        <v>2292</v>
      </c>
    </row>
    <row r="46" spans="1:9" ht="26.25" thickBot="1" x14ac:dyDescent="0.25">
      <c r="A46" s="2541" t="str">
        <f>OF!A74</f>
        <v>OF13</v>
      </c>
      <c r="B46" s="2543"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334" t="s">
        <v>2293</v>
      </c>
      <c r="I46" s="2271" t="s">
        <v>2294</v>
      </c>
    </row>
    <row r="47" spans="1:9" ht="25.5" x14ac:dyDescent="0.2">
      <c r="A47" s="2280"/>
      <c r="B47" s="2544"/>
      <c r="C47" s="2" t="str">
        <f>OF!C75</f>
        <v xml:space="preserve">&lt;50 m, and not separated by any width of paved roads, stretches of open water, row crops, lawn, bare ground, or impervious surface. </v>
      </c>
      <c r="D47" s="479">
        <f>OF!D75</f>
        <v>0</v>
      </c>
      <c r="E47" s="76">
        <v>5</v>
      </c>
      <c r="F47" s="76">
        <f>D47*E47</f>
        <v>0</v>
      </c>
      <c r="G47" s="191"/>
      <c r="H47" s="2332"/>
      <c r="I47" s="2266"/>
    </row>
    <row r="48" spans="1:9" x14ac:dyDescent="0.2">
      <c r="A48" s="2280"/>
      <c r="B48" s="2544"/>
      <c r="C48" s="151" t="str">
        <f>OF!C76</f>
        <v>&lt;50 m, but completely separated by those features.</v>
      </c>
      <c r="D48" s="557">
        <f>OF!D76</f>
        <v>0</v>
      </c>
      <c r="E48" s="76">
        <v>4</v>
      </c>
      <c r="F48" s="76">
        <f>D48*E48</f>
        <v>0</v>
      </c>
      <c r="G48" s="192"/>
      <c r="H48" s="2332"/>
      <c r="I48" s="2266"/>
    </row>
    <row r="49" spans="1:9" x14ac:dyDescent="0.2">
      <c r="A49" s="2280"/>
      <c r="B49" s="2544"/>
      <c r="C49" s="151" t="str">
        <f>OF!C77</f>
        <v>50-500 m, and not separated.</v>
      </c>
      <c r="D49" s="557">
        <f>OF!D77</f>
        <v>0</v>
      </c>
      <c r="E49" s="76">
        <v>3</v>
      </c>
      <c r="F49" s="76">
        <f>D49*E49</f>
        <v>0</v>
      </c>
      <c r="G49" s="192"/>
      <c r="H49" s="2332"/>
      <c r="I49" s="2266"/>
    </row>
    <row r="50" spans="1:9" x14ac:dyDescent="0.2">
      <c r="A50" s="2280"/>
      <c r="B50" s="2544"/>
      <c r="C50" s="151" t="str">
        <f>OF!C79</f>
        <v>0.5 - 1 km, and not separated.</v>
      </c>
      <c r="D50" s="557">
        <f>OF!D79</f>
        <v>0</v>
      </c>
      <c r="E50" s="76">
        <v>2</v>
      </c>
      <c r="F50" s="76">
        <f>D50*E50</f>
        <v>0</v>
      </c>
      <c r="G50" s="192"/>
      <c r="H50" s="2332"/>
      <c r="I50" s="2266"/>
    </row>
    <row r="51" spans="1:9" ht="13.5" thickBot="1" x14ac:dyDescent="0.25">
      <c r="A51" s="2281"/>
      <c r="B51" s="2545"/>
      <c r="C51" s="249" t="str">
        <f>OF!C81</f>
        <v>None of the above (the closest patches or corridors that large are &gt;1 km away).</v>
      </c>
      <c r="D51" s="794">
        <f>OF!D81</f>
        <v>0</v>
      </c>
      <c r="E51" s="77">
        <v>0</v>
      </c>
      <c r="F51" s="77">
        <f>D51*E51</f>
        <v>0</v>
      </c>
      <c r="G51" s="193"/>
      <c r="H51" s="2333"/>
      <c r="I51" s="2267"/>
    </row>
    <row r="52" spans="1:9" ht="13.5" thickBot="1" x14ac:dyDescent="0.25">
      <c r="A52" s="2639" t="str">
        <f>OF!A97</f>
        <v>OF16</v>
      </c>
      <c r="B52" s="2588" t="str">
        <f>OF!B97</f>
        <v>Upland Edge Contact [NR, RSB, Sens]</v>
      </c>
      <c r="C52" s="253" t="str">
        <f>OF!C97</f>
        <v>Select one:</v>
      </c>
      <c r="D52" s="801"/>
      <c r="E52" s="80"/>
      <c r="F52" s="81"/>
      <c r="G52" s="165">
        <f>MAX(F53:F57)/MAX(E53:E57)</f>
        <v>0</v>
      </c>
      <c r="H52" s="2334" t="s">
        <v>9128</v>
      </c>
      <c r="I52" s="2271" t="s">
        <v>2295</v>
      </c>
    </row>
    <row r="53" spans="1:9" ht="25.5" x14ac:dyDescent="0.2">
      <c r="A53" s="2277"/>
      <c r="B53" s="2544"/>
      <c r="C53" s="2" t="str">
        <f>OF!C98</f>
        <v>The AA has no upland edge (or upland is &lt;1% of perimeter). The AA is entirely surrounded by (&amp; contiguous with) other wetlands or water.</v>
      </c>
      <c r="D53" s="479">
        <f>OF!D98</f>
        <v>0</v>
      </c>
      <c r="E53" s="79">
        <v>0</v>
      </c>
      <c r="F53" s="76">
        <f>D53*E53</f>
        <v>0</v>
      </c>
      <c r="G53" s="191"/>
      <c r="H53" s="2332"/>
      <c r="I53" s="2266"/>
    </row>
    <row r="54" spans="1:9" ht="25.5" x14ac:dyDescent="0.2">
      <c r="A54" s="2277"/>
      <c r="B54" s="2544"/>
      <c r="C54" s="700" t="str">
        <f>OF!C99</f>
        <v>1-25% of the AA's perimeter abuts upland (including filled areas). The rest adjoins other wetlands or water that is mostly wider than the AA.</v>
      </c>
      <c r="D54" s="399">
        <f>OF!D99</f>
        <v>0</v>
      </c>
      <c r="E54" s="76">
        <v>0</v>
      </c>
      <c r="F54" s="76">
        <f>D54*E54</f>
        <v>0</v>
      </c>
      <c r="G54" s="191"/>
      <c r="H54" s="2332"/>
      <c r="I54" s="2266"/>
    </row>
    <row r="55" spans="1:9" ht="25.5" x14ac:dyDescent="0.2">
      <c r="A55" s="2277"/>
      <c r="B55" s="2544"/>
      <c r="C55" s="700" t="str">
        <f>OF!C100</f>
        <v>25-50% of the AA's perimeter abuts upland. The rest adjoins other wetlands or water that is mostly wider than the AA.</v>
      </c>
      <c r="D55" s="399">
        <f>OF!D100</f>
        <v>0</v>
      </c>
      <c r="E55" s="76">
        <v>0</v>
      </c>
      <c r="F55" s="76">
        <f>D55*E55</f>
        <v>0</v>
      </c>
      <c r="G55" s="191"/>
      <c r="H55" s="2332"/>
      <c r="I55" s="2266"/>
    </row>
    <row r="56" spans="1:9" ht="25.5" x14ac:dyDescent="0.2">
      <c r="A56" s="2277"/>
      <c r="B56" s="2544"/>
      <c r="C56" s="151" t="str">
        <f>OF!C101</f>
        <v>50-75% of the AA's perimeter abuts upland. The rest adjoins other wetlands or water that is mostly wider than the AA.</v>
      </c>
      <c r="D56" s="557">
        <f>OF!D101</f>
        <v>0</v>
      </c>
      <c r="E56" s="76">
        <v>3</v>
      </c>
      <c r="F56" s="76">
        <f>D56*E56</f>
        <v>0</v>
      </c>
      <c r="G56" s="192"/>
      <c r="H56" s="2332"/>
      <c r="I56" s="2266"/>
    </row>
    <row r="57" spans="1:9" ht="39" thickBot="1" x14ac:dyDescent="0.25">
      <c r="A57" s="2277"/>
      <c r="B57" s="2589"/>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32"/>
      <c r="I57" s="2266"/>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40" t="str">
        <f>F!A13</f>
        <v>F2</v>
      </c>
      <c r="B59" s="250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v>
      </c>
      <c r="H59" s="2271" t="s">
        <v>2296</v>
      </c>
      <c r="I59" s="2271" t="s">
        <v>2297</v>
      </c>
    </row>
    <row r="60" spans="1:9" x14ac:dyDescent="0.2">
      <c r="A60" s="2372"/>
      <c r="B60" s="2506"/>
      <c r="C60" s="150" t="str">
        <f>F!C14</f>
        <v>A1.</v>
      </c>
      <c r="D60" s="558">
        <f>F!D14</f>
        <v>0</v>
      </c>
      <c r="E60" s="76"/>
      <c r="F60" s="93"/>
      <c r="G60" s="243"/>
      <c r="H60" s="2253"/>
      <c r="I60" s="2266"/>
    </row>
    <row r="61" spans="1:9" x14ac:dyDescent="0.2">
      <c r="A61" s="2372"/>
      <c r="B61" s="2506"/>
      <c r="C61" s="281" t="str">
        <f>F!C15</f>
        <v>A2.</v>
      </c>
      <c r="D61" s="558">
        <f>F!D15</f>
        <v>0</v>
      </c>
      <c r="E61" s="76"/>
      <c r="F61" s="93"/>
      <c r="G61" s="181"/>
      <c r="H61" s="2253"/>
      <c r="I61" s="2266"/>
    </row>
    <row r="62" spans="1:9" x14ac:dyDescent="0.2">
      <c r="A62" s="2372"/>
      <c r="B62" s="2506"/>
      <c r="C62" s="281" t="str">
        <f>F!C16</f>
        <v>B1.</v>
      </c>
      <c r="D62" s="558">
        <f>F!D16</f>
        <v>0</v>
      </c>
      <c r="E62" s="76"/>
      <c r="F62" s="93"/>
      <c r="G62" s="181"/>
      <c r="H62" s="2253"/>
      <c r="I62" s="2266"/>
    </row>
    <row r="63" spans="1:9" ht="13.5" thickBot="1" x14ac:dyDescent="0.25">
      <c r="A63" s="2373"/>
      <c r="B63" s="2507"/>
      <c r="C63" s="249" t="str">
        <f>F!C17</f>
        <v>B2.</v>
      </c>
      <c r="D63" s="794">
        <f>F!D17</f>
        <v>0</v>
      </c>
      <c r="E63" s="77"/>
      <c r="F63" s="97"/>
      <c r="G63" s="182"/>
      <c r="H63" s="2254"/>
      <c r="I63" s="2267"/>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265" t="str">
        <f>F!A28</f>
        <v>F4</v>
      </c>
      <c r="B65" s="250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53" t="s">
        <v>2300</v>
      </c>
      <c r="I65" s="2271" t="s">
        <v>2301</v>
      </c>
    </row>
    <row r="66" spans="1:9" ht="25.5" x14ac:dyDescent="0.2">
      <c r="A66" s="2262"/>
      <c r="B66" s="2506"/>
      <c r="C66" s="150" t="str">
        <f>F!C29</f>
        <v>Those 2 genera together comprise &gt; 80% of woody cover shorter than 5 ft. Low woody cover is monotypic or nearly so.</v>
      </c>
      <c r="D66" s="401">
        <f>F!D29</f>
        <v>0</v>
      </c>
      <c r="E66" s="76">
        <v>0</v>
      </c>
      <c r="F66" s="76">
        <f>D66*E66</f>
        <v>0</v>
      </c>
      <c r="G66" s="191"/>
      <c r="H66" s="2253"/>
      <c r="I66" s="2266"/>
    </row>
    <row r="67" spans="1:9" x14ac:dyDescent="0.2">
      <c r="A67" s="2262"/>
      <c r="B67" s="2506"/>
      <c r="C67" s="281" t="str">
        <f>F!C30</f>
        <v xml:space="preserve">Those 2 genera together comprise 50-80% of low woody cover.  </v>
      </c>
      <c r="D67" s="558">
        <f>F!D30</f>
        <v>0</v>
      </c>
      <c r="E67" s="79">
        <v>2</v>
      </c>
      <c r="F67" s="76">
        <f>D67*E67</f>
        <v>0</v>
      </c>
      <c r="G67" s="238"/>
      <c r="H67" s="2253"/>
      <c r="I67" s="2266"/>
    </row>
    <row r="68" spans="1:9" ht="26.25" thickBot="1" x14ac:dyDescent="0.25">
      <c r="A68" s="2263"/>
      <c r="B68" s="2507"/>
      <c r="C68" s="249" t="str">
        <f>F!C31</f>
        <v>No 2 genera together comprise &gt; 50% of low woody cover.  Several low woody genera are significantly present.</v>
      </c>
      <c r="D68" s="794">
        <f>F!D31</f>
        <v>0</v>
      </c>
      <c r="E68" s="77">
        <v>3</v>
      </c>
      <c r="F68" s="77">
        <f>D68*E68</f>
        <v>0</v>
      </c>
      <c r="G68" s="193"/>
      <c r="H68" s="2254"/>
      <c r="I68" s="2267"/>
    </row>
    <row r="69" spans="1:9" ht="39" thickBot="1" x14ac:dyDescent="0.25">
      <c r="A69" s="2262" t="str">
        <f>F!A33</f>
        <v>F5</v>
      </c>
      <c r="B69" s="2588"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34" t="s">
        <v>8755</v>
      </c>
      <c r="I69" s="2271" t="s">
        <v>2302</v>
      </c>
    </row>
    <row r="70" spans="1:9" x14ac:dyDescent="0.2">
      <c r="A70" s="2262"/>
      <c r="B70" s="2544"/>
      <c r="C70" s="2" t="str">
        <f>F!C34</f>
        <v>coniferous, 1-9 cm diameter and &gt;1 m tall.</v>
      </c>
      <c r="D70" s="479">
        <f>F!D34</f>
        <v>0</v>
      </c>
      <c r="E70" s="76">
        <v>0</v>
      </c>
      <c r="F70" s="76">
        <f t="shared" ref="F70:F77" si="4">D70*E70</f>
        <v>0</v>
      </c>
      <c r="G70" s="191"/>
      <c r="H70" s="2332"/>
      <c r="I70" s="2266"/>
    </row>
    <row r="71" spans="1:9" x14ac:dyDescent="0.2">
      <c r="A71" s="2262"/>
      <c r="B71" s="2544"/>
      <c r="C71" s="151" t="str">
        <f>F!C35</f>
        <v>broad-leaved deciduous 1-9 cm diameter and &gt;1 m tall.</v>
      </c>
      <c r="D71" s="557">
        <f>F!D35</f>
        <v>0</v>
      </c>
      <c r="E71" s="76">
        <v>3</v>
      </c>
      <c r="F71" s="76">
        <f t="shared" si="4"/>
        <v>0</v>
      </c>
      <c r="G71" s="192"/>
      <c r="H71" s="2332"/>
      <c r="I71" s="2266"/>
    </row>
    <row r="72" spans="1:9" x14ac:dyDescent="0.2">
      <c r="A72" s="2262"/>
      <c r="B72" s="2544"/>
      <c r="C72" s="151" t="str">
        <f>F!C36</f>
        <v>coniferous, 10-19 cm diameter.</v>
      </c>
      <c r="D72" s="557">
        <f>F!D36</f>
        <v>0</v>
      </c>
      <c r="E72" s="76">
        <v>2</v>
      </c>
      <c r="F72" s="76">
        <f t="shared" si="4"/>
        <v>0</v>
      </c>
      <c r="G72" s="192"/>
      <c r="H72" s="2332"/>
      <c r="I72" s="2266"/>
    </row>
    <row r="73" spans="1:9" x14ac:dyDescent="0.2">
      <c r="A73" s="2262"/>
      <c r="B73" s="2544"/>
      <c r="C73" s="151" t="str">
        <f>F!C37</f>
        <v>broad-leaved deciduous 10-19 cm diameter.</v>
      </c>
      <c r="D73" s="557">
        <f>F!D37</f>
        <v>0</v>
      </c>
      <c r="E73" s="76">
        <v>4</v>
      </c>
      <c r="F73" s="76">
        <f t="shared" si="4"/>
        <v>0</v>
      </c>
      <c r="G73" s="192"/>
      <c r="H73" s="2332"/>
      <c r="I73" s="2266"/>
    </row>
    <row r="74" spans="1:9" x14ac:dyDescent="0.2">
      <c r="A74" s="2262"/>
      <c r="B74" s="2544"/>
      <c r="C74" s="151" t="str">
        <f>F!C38</f>
        <v>coniferous, 20-40 cm diameter.</v>
      </c>
      <c r="D74" s="557">
        <f>F!D38</f>
        <v>0</v>
      </c>
      <c r="E74" s="76">
        <v>3</v>
      </c>
      <c r="F74" s="76">
        <f t="shared" si="4"/>
        <v>0</v>
      </c>
      <c r="G74" s="192"/>
      <c r="H74" s="2332"/>
      <c r="I74" s="2266"/>
    </row>
    <row r="75" spans="1:9" x14ac:dyDescent="0.2">
      <c r="A75" s="2262"/>
      <c r="B75" s="2544"/>
      <c r="C75" s="151" t="str">
        <f>F!C39</f>
        <v>broad-leaved deciduous 20-40 cm diameter.</v>
      </c>
      <c r="D75" s="557">
        <f>F!D39</f>
        <v>0</v>
      </c>
      <c r="E75" s="76">
        <v>6</v>
      </c>
      <c r="F75" s="76">
        <f t="shared" si="4"/>
        <v>0</v>
      </c>
      <c r="G75" s="192"/>
      <c r="H75" s="2332"/>
      <c r="I75" s="2266"/>
    </row>
    <row r="76" spans="1:9" x14ac:dyDescent="0.2">
      <c r="A76" s="2262"/>
      <c r="B76" s="2544"/>
      <c r="C76" s="151" t="str">
        <f>F!C40</f>
        <v>coniferous, &gt;40 cm diameter.</v>
      </c>
      <c r="D76" s="557">
        <f>F!D40</f>
        <v>0</v>
      </c>
      <c r="E76" s="76">
        <v>5</v>
      </c>
      <c r="F76" s="76">
        <f t="shared" si="4"/>
        <v>0</v>
      </c>
      <c r="G76" s="192"/>
      <c r="H76" s="2332"/>
      <c r="I76" s="2266"/>
    </row>
    <row r="77" spans="1:9" ht="13.5" thickBot="1" x14ac:dyDescent="0.25">
      <c r="A77" s="2262"/>
      <c r="B77" s="2589"/>
      <c r="C77" s="151" t="str">
        <f>F!C41</f>
        <v>broad-leaved deciduous &gt;40 cm diameter.</v>
      </c>
      <c r="D77" s="794">
        <f>F!D41</f>
        <v>0</v>
      </c>
      <c r="E77" s="77">
        <v>8</v>
      </c>
      <c r="F77" s="77">
        <f t="shared" si="4"/>
        <v>0</v>
      </c>
      <c r="G77" s="193"/>
      <c r="H77" s="2333"/>
      <c r="I77" s="2267"/>
    </row>
    <row r="78" spans="1:9" ht="21" customHeight="1" thickBot="1" x14ac:dyDescent="0.25">
      <c r="A78" s="2265" t="str">
        <f>F!A42</f>
        <v>F6</v>
      </c>
      <c r="B78" s="2543" t="str">
        <f>F!B42</f>
        <v>Height Class Interspersion [NR, AM, RSB, KMH, PH, Sens]</v>
      </c>
      <c r="C78" s="63" t="str">
        <f>F!C42</f>
        <v>Follow the key below and mark the ONE row that best describes MOST of the AA:</v>
      </c>
      <c r="D78" s="801"/>
      <c r="E78" s="80"/>
      <c r="F78" s="81"/>
      <c r="G78" s="165">
        <f>MAX(F80:F84)/MAX(E80:E84)</f>
        <v>0</v>
      </c>
      <c r="H78" s="2334" t="s">
        <v>8756</v>
      </c>
      <c r="I78" s="2271" t="s">
        <v>2303</v>
      </c>
    </row>
    <row r="79" spans="1:9" ht="39" thickBot="1" x14ac:dyDescent="0.25">
      <c r="A79" s="2262"/>
      <c r="B79" s="2544"/>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32"/>
      <c r="I79" s="2266"/>
    </row>
    <row r="80" spans="1:9" x14ac:dyDescent="0.2">
      <c r="A80" s="2262"/>
      <c r="B80" s="2544"/>
      <c r="C80" s="2" t="str">
        <f>F!C44</f>
        <v>A1. The two height classes are mostly scattered and intermixed throughout the AA.</v>
      </c>
      <c r="D80" s="479">
        <f>F!D44</f>
        <v>0</v>
      </c>
      <c r="E80" s="75">
        <v>3</v>
      </c>
      <c r="F80" s="76">
        <f>D80*E80</f>
        <v>0</v>
      </c>
      <c r="G80" s="191"/>
      <c r="H80" s="2332"/>
      <c r="I80" s="2266"/>
    </row>
    <row r="81" spans="1:9" ht="26.25" thickBot="1" x14ac:dyDescent="0.25">
      <c r="A81" s="2262"/>
      <c r="B81" s="2544"/>
      <c r="C81" s="151" t="str">
        <f>F!C45</f>
        <v>A2. Not A1.  The two height classes are mostly in separate zones or bands, or in proportionately large clumps.</v>
      </c>
      <c r="D81" s="557">
        <f>F!D45</f>
        <v>0</v>
      </c>
      <c r="E81" s="76">
        <v>2</v>
      </c>
      <c r="F81" s="76">
        <f>D81*E81</f>
        <v>0</v>
      </c>
      <c r="G81" s="191"/>
      <c r="H81" s="2332"/>
      <c r="I81" s="2266"/>
    </row>
    <row r="82" spans="1:9" ht="39" thickBot="1" x14ac:dyDescent="0.25">
      <c r="A82" s="2262"/>
      <c r="B82" s="2544"/>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32"/>
      <c r="I82" s="2266"/>
    </row>
    <row r="83" spans="1:9" ht="25.5" x14ac:dyDescent="0.2">
      <c r="A83" s="2262"/>
      <c r="B83" s="2544"/>
      <c r="C83" s="2" t="str">
        <f>F!C47</f>
        <v>B1. The less prevalent height class is mostly scattered and intermixed within the prevalent one.</v>
      </c>
      <c r="D83" s="479">
        <f>F!D47</f>
        <v>0</v>
      </c>
      <c r="E83" s="76">
        <v>1</v>
      </c>
      <c r="F83" s="76">
        <f>D83*E83</f>
        <v>0</v>
      </c>
      <c r="G83" s="192"/>
      <c r="H83" s="2332"/>
      <c r="I83" s="2266"/>
    </row>
    <row r="84" spans="1:9" ht="26.25" thickBot="1" x14ac:dyDescent="0.25">
      <c r="A84" s="2263"/>
      <c r="B84" s="2545"/>
      <c r="C84" s="249" t="str">
        <f>F!C48</f>
        <v>B2. Not B1.  The less prevalent height class is mostly located apart from the prevalent one, in separate zones or clumps, or is completely absent.</v>
      </c>
      <c r="D84" s="557">
        <f>F!D48</f>
        <v>0</v>
      </c>
      <c r="E84" s="79">
        <v>0</v>
      </c>
      <c r="F84" s="79">
        <f>D84*E84</f>
        <v>0</v>
      </c>
      <c r="G84" s="211"/>
      <c r="H84" s="2332"/>
      <c r="I84" s="2266"/>
    </row>
    <row r="85" spans="1:9" ht="26.25" thickBot="1" x14ac:dyDescent="0.25">
      <c r="A85" s="1173" t="str">
        <f>F!A49</f>
        <v>F7</v>
      </c>
      <c r="B85" s="2588"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v>
      </c>
      <c r="H85" s="2418" t="s">
        <v>8668</v>
      </c>
      <c r="I85" s="416" t="s">
        <v>2304</v>
      </c>
    </row>
    <row r="86" spans="1:9" ht="25.5" x14ac:dyDescent="0.2">
      <c r="A86" s="1151"/>
      <c r="B86" s="2544"/>
      <c r="C86" s="281" t="str">
        <f>F!C50</f>
        <v>&lt;5% of the vegetated part of the AA or &lt;0.01 hectare (whichever is less). Mark "1" here and SKIP to F11 (Invasive Plant Cover).</v>
      </c>
      <c r="D86" s="558">
        <f>F!D50</f>
        <v>0</v>
      </c>
      <c r="E86" s="76">
        <v>0</v>
      </c>
      <c r="F86" s="76">
        <f>D86*E86</f>
        <v>0</v>
      </c>
      <c r="G86" s="192"/>
      <c r="H86" s="2419"/>
      <c r="I86" s="289"/>
    </row>
    <row r="87" spans="1:9" x14ac:dyDescent="0.2">
      <c r="A87" s="1151"/>
      <c r="B87" s="2544"/>
      <c r="C87" s="281" t="str">
        <f>F!C51</f>
        <v>5-25% of the vegetated part of the AA.</v>
      </c>
      <c r="D87" s="558">
        <f>F!D51</f>
        <v>0</v>
      </c>
      <c r="E87" s="76">
        <v>2</v>
      </c>
      <c r="F87" s="76">
        <f>D87*E87</f>
        <v>0</v>
      </c>
      <c r="G87" s="192"/>
      <c r="H87" s="2419"/>
      <c r="I87" s="289"/>
    </row>
    <row r="88" spans="1:9" x14ac:dyDescent="0.2">
      <c r="A88" s="1151"/>
      <c r="B88" s="2544"/>
      <c r="C88" s="281" t="str">
        <f>F!C52</f>
        <v>25-50% of the vegetated part of the AA.</v>
      </c>
      <c r="D88" s="558">
        <f>F!D52</f>
        <v>0</v>
      </c>
      <c r="E88" s="76">
        <v>3</v>
      </c>
      <c r="F88" s="76">
        <f>D88*E88</f>
        <v>0</v>
      </c>
      <c r="G88" s="192"/>
      <c r="H88" s="2419"/>
      <c r="I88" s="289"/>
    </row>
    <row r="89" spans="1:9" x14ac:dyDescent="0.2">
      <c r="A89" s="1151"/>
      <c r="B89" s="2544"/>
      <c r="C89" s="281" t="str">
        <f>F!C53</f>
        <v>50-95% of the vegetated part of the AA.</v>
      </c>
      <c r="D89" s="558">
        <f>F!D53</f>
        <v>0</v>
      </c>
      <c r="E89" s="76">
        <v>4</v>
      </c>
      <c r="F89" s="76">
        <f>D89*E89</f>
        <v>0</v>
      </c>
      <c r="G89" s="192"/>
      <c r="H89" s="2419"/>
      <c r="I89" s="289"/>
    </row>
    <row r="90" spans="1:9" ht="13.5" thickBot="1" x14ac:dyDescent="0.25">
      <c r="A90" s="1151"/>
      <c r="B90" s="2589"/>
      <c r="C90" s="151" t="str">
        <f>F!C54</f>
        <v>&gt;95% of the vegetated part of the AA.</v>
      </c>
      <c r="D90" s="557">
        <f>F!D54</f>
        <v>0</v>
      </c>
      <c r="E90" s="79">
        <v>2</v>
      </c>
      <c r="F90" s="79">
        <f>D90*E90</f>
        <v>0</v>
      </c>
      <c r="G90" s="211"/>
      <c r="H90" s="2420"/>
      <c r="I90" s="290"/>
    </row>
    <row r="91" spans="1:9" ht="26.25" thickBot="1" x14ac:dyDescent="0.25">
      <c r="A91" s="1153" t="str">
        <f>F!A63</f>
        <v>F9</v>
      </c>
      <c r="B91" s="250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0</v>
      </c>
      <c r="H91" s="2271" t="s">
        <v>8669</v>
      </c>
      <c r="I91" s="289" t="s">
        <v>2305</v>
      </c>
    </row>
    <row r="92" spans="1:9" x14ac:dyDescent="0.2">
      <c r="A92" s="1151"/>
      <c r="B92" s="2506"/>
      <c r="C92" s="727" t="str">
        <f>F!C64</f>
        <v>&lt;1% of the herbaceous vegetation, or herbaceous vegetation is absent.</v>
      </c>
      <c r="D92" s="558">
        <f>F!D64</f>
        <v>0</v>
      </c>
      <c r="E92" s="76">
        <v>0</v>
      </c>
      <c r="F92" s="76">
        <f>D92*E92</f>
        <v>0</v>
      </c>
      <c r="G92" s="192"/>
      <c r="H92" s="2266"/>
      <c r="I92" s="289"/>
    </row>
    <row r="93" spans="1:9" x14ac:dyDescent="0.2">
      <c r="A93" s="1151"/>
      <c r="B93" s="2506"/>
      <c r="C93" s="766" t="str">
        <f>F!C65</f>
        <v>1-25% of the herbaceous vegetation.</v>
      </c>
      <c r="D93" s="558">
        <f>F!D65</f>
        <v>0</v>
      </c>
      <c r="E93" s="76">
        <v>3</v>
      </c>
      <c r="F93" s="76">
        <f>D93*E93</f>
        <v>0</v>
      </c>
      <c r="G93" s="192"/>
      <c r="H93" s="2266"/>
      <c r="I93" s="289"/>
    </row>
    <row r="94" spans="1:9" x14ac:dyDescent="0.2">
      <c r="A94" s="1151"/>
      <c r="B94" s="2506"/>
      <c r="C94" s="766" t="str">
        <f>F!C66</f>
        <v>25-75% of the herbaceous vegetation.</v>
      </c>
      <c r="D94" s="558">
        <f>F!D66</f>
        <v>0</v>
      </c>
      <c r="E94" s="76">
        <v>4</v>
      </c>
      <c r="F94" s="76">
        <f>D94*E94</f>
        <v>0</v>
      </c>
      <c r="G94" s="192"/>
      <c r="H94" s="2266"/>
      <c r="I94" s="289"/>
    </row>
    <row r="95" spans="1:9" ht="13.5" thickBot="1" x14ac:dyDescent="0.25">
      <c r="A95" s="1152"/>
      <c r="B95" s="2507"/>
      <c r="C95" s="767" t="str">
        <f>F!C67</f>
        <v>&gt;75%, of the herbaceous vegetation.</v>
      </c>
      <c r="D95" s="794">
        <f>F!D67</f>
        <v>0</v>
      </c>
      <c r="E95" s="77">
        <v>2</v>
      </c>
      <c r="F95" s="77">
        <f>D95*E95</f>
        <v>0</v>
      </c>
      <c r="G95" s="193"/>
      <c r="H95" s="2267"/>
      <c r="I95" s="289"/>
    </row>
    <row r="96" spans="1:9" ht="26.25" thickBot="1" x14ac:dyDescent="0.25">
      <c r="A96" s="2262" t="str">
        <f>F!A98</f>
        <v>F15</v>
      </c>
      <c r="B96" s="2508" t="str">
        <f>F!B98</f>
        <v>Large Snags [WBN, RSB, POL]</v>
      </c>
      <c r="C96" s="253" t="str">
        <f>F!C98</f>
        <v>The number of large snags (diameter &gt;20 cm) in the AA plus adjacent upland area within 10 m of the wetland edge is:</v>
      </c>
      <c r="D96" s="802"/>
      <c r="E96" s="75"/>
      <c r="F96" s="78"/>
      <c r="G96" s="348">
        <f>MAX(F97:F99)/MAX(E97:E99)</f>
        <v>0</v>
      </c>
      <c r="H96" s="2253" t="s">
        <v>2306</v>
      </c>
      <c r="I96" s="2271" t="s">
        <v>2307</v>
      </c>
    </row>
    <row r="97" spans="1:11" x14ac:dyDescent="0.2">
      <c r="A97" s="2641"/>
      <c r="B97" s="2642"/>
      <c r="C97" s="150" t="str">
        <f>F!C99</f>
        <v>None, or fewer than 8/ hectare which exceed this diameter.</v>
      </c>
      <c r="D97" s="401">
        <f>F!D99</f>
        <v>0</v>
      </c>
      <c r="E97" s="76">
        <v>0</v>
      </c>
      <c r="F97" s="76">
        <f>D97*E97</f>
        <v>0</v>
      </c>
      <c r="G97" s="191"/>
      <c r="H97" s="2253"/>
      <c r="I97" s="2266"/>
    </row>
    <row r="98" spans="1:11" ht="25.5" x14ac:dyDescent="0.2">
      <c r="A98" s="2641"/>
      <c r="B98" s="2642"/>
      <c r="C98" s="150" t="str">
        <f>F!C100</f>
        <v>Several ( &gt;8/hectare) and a pond, lake, or slow-flowing water wider than 10 m is within 1 km.</v>
      </c>
      <c r="D98" s="401">
        <f>F!D100</f>
        <v>0</v>
      </c>
      <c r="E98" s="76">
        <v>3</v>
      </c>
      <c r="F98" s="76">
        <f>D98*E98</f>
        <v>0</v>
      </c>
      <c r="G98" s="191"/>
      <c r="H98" s="2253"/>
      <c r="I98" s="2266"/>
    </row>
    <row r="99" spans="1:11" ht="13.5" thickBot="1" x14ac:dyDescent="0.25">
      <c r="A99" s="2641"/>
      <c r="B99" s="2643"/>
      <c r="C99" s="2" t="str">
        <f>F!C101</f>
        <v>Several ( &gt;8/hectare) but above not true.</v>
      </c>
      <c r="D99" s="479">
        <f>F!D101</f>
        <v>0</v>
      </c>
      <c r="E99" s="79">
        <v>2</v>
      </c>
      <c r="F99" s="79">
        <f>D99*E99</f>
        <v>0</v>
      </c>
      <c r="G99" s="211"/>
      <c r="H99" s="2254"/>
      <c r="I99" s="2267"/>
    </row>
    <row r="100" spans="1:11" ht="42" customHeight="1" thickBot="1" x14ac:dyDescent="0.25">
      <c r="A100" s="2265" t="str">
        <f>F!A107</f>
        <v>F17</v>
      </c>
      <c r="B100" s="250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334" t="s">
        <v>2308</v>
      </c>
      <c r="I100" s="2271" t="s">
        <v>2309</v>
      </c>
    </row>
    <row r="101" spans="1:11" ht="38.25" x14ac:dyDescent="0.2">
      <c r="A101" s="2262"/>
      <c r="B101" s="250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32"/>
      <c r="I101" s="2266"/>
    </row>
    <row r="102" spans="1:11" ht="25.5" x14ac:dyDescent="0.2">
      <c r="A102" s="2262"/>
      <c r="B102" s="2506"/>
      <c r="C102" s="766" t="str">
        <f>F!C109</f>
        <v>Slightly bare ground (5-20% bare between plants) is visible in places, and those areas comprise less than 5% of the unflooded parts of the AA.</v>
      </c>
      <c r="D102" s="558">
        <f>F!D109</f>
        <v>0</v>
      </c>
      <c r="E102" s="76">
        <v>4</v>
      </c>
      <c r="F102" s="76">
        <f>D102*E102</f>
        <v>0</v>
      </c>
      <c r="G102" s="192"/>
      <c r="H102" s="2332"/>
      <c r="I102" s="2266"/>
    </row>
    <row r="103" spans="1:11" ht="25.5" x14ac:dyDescent="0.2">
      <c r="A103" s="2262"/>
      <c r="B103" s="2506"/>
      <c r="C103" s="766" t="str">
        <f>F!C110</f>
        <v xml:space="preserve">Slightly bare ground (5-20% bare between plants) comprises more than 5% of the unflooded parts of the AA, </v>
      </c>
      <c r="D103" s="558">
        <f>F!D110</f>
        <v>0</v>
      </c>
      <c r="E103" s="76">
        <v>2</v>
      </c>
      <c r="F103" s="76">
        <f>D103*E103</f>
        <v>0</v>
      </c>
      <c r="G103" s="192"/>
      <c r="H103" s="2332"/>
      <c r="I103" s="2266"/>
    </row>
    <row r="104" spans="1:11" ht="25.5" x14ac:dyDescent="0.2">
      <c r="A104" s="2262"/>
      <c r="B104" s="2506"/>
      <c r="C104" s="766" t="str">
        <f>F!C111</f>
        <v>Very bare ground (20-50% bare between plants) comprises more than 5% of the unflooded parts of the AA. </v>
      </c>
      <c r="D104" s="558">
        <f>F!D111</f>
        <v>0</v>
      </c>
      <c r="E104" s="79">
        <v>0</v>
      </c>
      <c r="F104" s="79">
        <f>D104*E104</f>
        <v>0</v>
      </c>
      <c r="G104" s="211"/>
      <c r="H104" s="2332"/>
      <c r="I104" s="2266"/>
    </row>
    <row r="105" spans="1:11" ht="26.25" thickBot="1" x14ac:dyDescent="0.25">
      <c r="A105" s="2263"/>
      <c r="B105" s="2507"/>
      <c r="C105" s="767" t="str">
        <f>F!C112</f>
        <v>Not applicable. Surface water (either open or obscured by emergent plants) covers all of the AA all the time.</v>
      </c>
      <c r="D105" s="794">
        <f>F!D112</f>
        <v>0</v>
      </c>
      <c r="E105" s="77"/>
      <c r="F105" s="77"/>
      <c r="G105" s="193"/>
      <c r="H105" s="2332"/>
      <c r="I105" s="2266"/>
    </row>
    <row r="106" spans="1:11" ht="26.25" customHeight="1" thickBot="1" x14ac:dyDescent="0.25">
      <c r="A106" s="2377" t="str">
        <f>F!A114</f>
        <v>F18</v>
      </c>
      <c r="B106" s="2588" t="str">
        <f>F!B114</f>
        <v>Upland Inclusions [NR, RSB]</v>
      </c>
      <c r="C106" s="10" t="str">
        <f>F!C114</f>
        <v>Within the AA, inclusions of upland are:</v>
      </c>
      <c r="D106" s="1405"/>
      <c r="E106" s="75"/>
      <c r="F106" s="78"/>
      <c r="G106" s="348">
        <f>IF((D107=1),"",MAX(F107:F109)/MAX(E107:E109))</f>
        <v>0</v>
      </c>
      <c r="H106" s="2334" t="s">
        <v>8670</v>
      </c>
      <c r="I106" s="2271" t="s">
        <v>2310</v>
      </c>
    </row>
    <row r="107" spans="1:11" x14ac:dyDescent="0.2">
      <c r="A107" s="2377"/>
      <c r="B107" s="2544"/>
      <c r="C107" s="766" t="str">
        <f>F!C115</f>
        <v>Few or none.</v>
      </c>
      <c r="D107" s="558">
        <f>F!D115</f>
        <v>0</v>
      </c>
      <c r="E107" s="76">
        <v>0</v>
      </c>
      <c r="F107" s="76">
        <f>D107*E107</f>
        <v>0</v>
      </c>
      <c r="G107" s="191"/>
      <c r="H107" s="2332"/>
      <c r="I107" s="2266"/>
    </row>
    <row r="108" spans="1:11" x14ac:dyDescent="0.2">
      <c r="A108" s="2377"/>
      <c r="B108" s="2544"/>
      <c r="C108" s="766" t="str">
        <f>F!C116</f>
        <v>Intermediate (1 - 10% of vegetated part of the AA).</v>
      </c>
      <c r="D108" s="558">
        <f>F!D116</f>
        <v>0</v>
      </c>
      <c r="E108" s="76">
        <v>2</v>
      </c>
      <c r="F108" s="76">
        <f>D108*E108</f>
        <v>0</v>
      </c>
      <c r="G108" s="238"/>
      <c r="H108" s="2332"/>
      <c r="I108" s="2266"/>
    </row>
    <row r="109" spans="1:11" ht="13.5" thickBot="1" x14ac:dyDescent="0.25">
      <c r="A109" s="2377"/>
      <c r="B109" s="2589"/>
      <c r="C109" s="1356" t="str">
        <f>F!C117</f>
        <v>Many (e.g., wetland-upland "mosaic", &gt;10% of the vegetated AA).</v>
      </c>
      <c r="D109" s="557">
        <f>F!D117</f>
        <v>0</v>
      </c>
      <c r="E109" s="79">
        <v>3</v>
      </c>
      <c r="F109" s="79">
        <f>D109*E109</f>
        <v>0</v>
      </c>
      <c r="G109" s="211"/>
      <c r="H109" s="2332"/>
      <c r="I109" s="2267"/>
    </row>
    <row r="110" spans="1:11" ht="51.75" thickBot="1" x14ac:dyDescent="0.25">
      <c r="A110" s="2265" t="str">
        <f>F!A142</f>
        <v>F23</v>
      </c>
      <c r="B110" s="250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v>
      </c>
      <c r="H110" s="2252" t="s">
        <v>2313</v>
      </c>
      <c r="I110" s="2271" t="s">
        <v>2314</v>
      </c>
      <c r="J110" s="2"/>
      <c r="K110" s="2"/>
    </row>
    <row r="111" spans="1:11" x14ac:dyDescent="0.2">
      <c r="A111" s="2262"/>
      <c r="B111" s="2506"/>
      <c r="C111" s="766" t="str">
        <f>F!C143</f>
        <v>None or trace.</v>
      </c>
      <c r="D111" s="558">
        <f>F!D143</f>
        <v>0</v>
      </c>
      <c r="E111" s="75">
        <v>3</v>
      </c>
      <c r="F111" s="76">
        <f>D111*E111</f>
        <v>0</v>
      </c>
      <c r="G111" s="192"/>
      <c r="H111" s="2253"/>
      <c r="I111" s="2266"/>
      <c r="J111" s="2"/>
      <c r="K111" s="2"/>
    </row>
    <row r="112" spans="1:11" x14ac:dyDescent="0.2">
      <c r="A112" s="2262"/>
      <c r="B112" s="2506"/>
      <c r="C112" s="766" t="str">
        <f>F!C144</f>
        <v>1-20% of the AA.</v>
      </c>
      <c r="D112" s="558">
        <f>F!D144</f>
        <v>0</v>
      </c>
      <c r="E112" s="76">
        <v>4</v>
      </c>
      <c r="F112" s="76">
        <f>D112*E112</f>
        <v>0</v>
      </c>
      <c r="G112" s="192"/>
      <c r="H112" s="2253"/>
      <c r="I112" s="2266"/>
      <c r="J112" s="2"/>
      <c r="K112" s="2"/>
    </row>
    <row r="113" spans="1:11" x14ac:dyDescent="0.2">
      <c r="A113" s="2262"/>
      <c r="B113" s="2506"/>
      <c r="C113" s="766" t="str">
        <f>F!C145</f>
        <v>20-50% of the AA.</v>
      </c>
      <c r="D113" s="558">
        <f>F!D145</f>
        <v>0</v>
      </c>
      <c r="E113" s="76">
        <v>3</v>
      </c>
      <c r="F113" s="76">
        <f>D113*E113</f>
        <v>0</v>
      </c>
      <c r="G113" s="192"/>
      <c r="H113" s="2253"/>
      <c r="I113" s="2266"/>
      <c r="J113" s="2"/>
      <c r="K113" s="2"/>
    </row>
    <row r="114" spans="1:11" x14ac:dyDescent="0.2">
      <c r="A114" s="2262"/>
      <c r="B114" s="2506"/>
      <c r="C114" s="766" t="str">
        <f>F!C146</f>
        <v>50-95% of the AA.</v>
      </c>
      <c r="D114" s="558">
        <f>F!D146</f>
        <v>0</v>
      </c>
      <c r="E114" s="76">
        <v>2</v>
      </c>
      <c r="F114" s="76">
        <f>D114*E114</f>
        <v>0</v>
      </c>
      <c r="G114" s="192"/>
      <c r="H114" s="2253"/>
      <c r="I114" s="2266"/>
      <c r="J114" s="2"/>
      <c r="K114" s="2"/>
    </row>
    <row r="115" spans="1:11" ht="13.5" thickBot="1" x14ac:dyDescent="0.25">
      <c r="A115" s="2263"/>
      <c r="B115" s="2507"/>
      <c r="C115" s="767" t="str">
        <f>F!C147</f>
        <v>&gt;95% of the AA. True for many fringe wetlands.</v>
      </c>
      <c r="D115" s="794">
        <f>F!D147</f>
        <v>0</v>
      </c>
      <c r="E115" s="77">
        <v>0</v>
      </c>
      <c r="F115" s="77">
        <f>D115*E115</f>
        <v>0</v>
      </c>
      <c r="G115" s="193"/>
      <c r="H115" s="2254"/>
      <c r="I115" s="2267"/>
      <c r="J115" s="2"/>
      <c r="K115" s="2"/>
    </row>
    <row r="116" spans="1:11" ht="26.25" thickBot="1" x14ac:dyDescent="0.25">
      <c r="A116" s="2265" t="str">
        <f>F!A149</f>
        <v>F24</v>
      </c>
      <c r="B116" s="250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v>
      </c>
      <c r="H116" s="2252" t="s">
        <v>2311</v>
      </c>
      <c r="I116" s="2271" t="s">
        <v>2312</v>
      </c>
    </row>
    <row r="117" spans="1:11" ht="25.5" x14ac:dyDescent="0.2">
      <c r="A117" s="2262"/>
      <c r="B117" s="2506"/>
      <c r="C117" s="766" t="str">
        <f>F!C150</f>
        <v xml:space="preserve">&lt;1% . In other words, all or nearly all of the AA is covered by water permanently or at least seasonally.  </v>
      </c>
      <c r="D117" s="558">
        <f>F!D150</f>
        <v>0</v>
      </c>
      <c r="E117" s="76">
        <v>0</v>
      </c>
      <c r="F117" s="76">
        <f t="shared" ref="F117:F122" si="5">D117*E117</f>
        <v>0</v>
      </c>
      <c r="G117" s="211"/>
      <c r="H117" s="2253"/>
      <c r="I117" s="2266"/>
    </row>
    <row r="118" spans="1:11" x14ac:dyDescent="0.2">
      <c r="A118" s="2262"/>
      <c r="B118" s="2506"/>
      <c r="C118" s="766" t="str">
        <f>F!C151</f>
        <v>1-25% of the AA,  or &lt;1% but &gt;0.01 ha never contains surface water.</v>
      </c>
      <c r="D118" s="558">
        <f>F!D151</f>
        <v>0</v>
      </c>
      <c r="E118" s="76">
        <v>2</v>
      </c>
      <c r="F118" s="76">
        <f t="shared" si="5"/>
        <v>0</v>
      </c>
      <c r="G118" s="211"/>
      <c r="H118" s="2253"/>
      <c r="I118" s="2266"/>
    </row>
    <row r="119" spans="1:11" x14ac:dyDescent="0.2">
      <c r="A119" s="2262"/>
      <c r="B119" s="2506"/>
      <c r="C119" s="766" t="str">
        <f>F!C152</f>
        <v>25-50% of the AA never contains surface water.</v>
      </c>
      <c r="D119" s="558">
        <f>F!D152</f>
        <v>0</v>
      </c>
      <c r="E119" s="76">
        <v>3</v>
      </c>
      <c r="F119" s="76">
        <f t="shared" si="5"/>
        <v>0</v>
      </c>
      <c r="G119" s="211"/>
      <c r="H119" s="2253"/>
      <c r="I119" s="2266"/>
    </row>
    <row r="120" spans="1:11" x14ac:dyDescent="0.2">
      <c r="A120" s="2262"/>
      <c r="B120" s="2506"/>
      <c r="C120" s="766" t="str">
        <f>F!C153</f>
        <v>50-75% of the AA never contains surface water.</v>
      </c>
      <c r="D120" s="558">
        <f>F!D153</f>
        <v>0</v>
      </c>
      <c r="E120" s="76">
        <v>4</v>
      </c>
      <c r="F120" s="76">
        <f t="shared" si="5"/>
        <v>0</v>
      </c>
      <c r="G120" s="211"/>
      <c r="H120" s="2253"/>
      <c r="I120" s="2266"/>
    </row>
    <row r="121" spans="1:11" ht="25.5" x14ac:dyDescent="0.2">
      <c r="A121" s="2262"/>
      <c r="B121" s="250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53"/>
      <c r="I121" s="2266"/>
    </row>
    <row r="122" spans="1:11" ht="26.25" thickBot="1" x14ac:dyDescent="0.25">
      <c r="A122" s="2263"/>
      <c r="B122" s="2507"/>
      <c r="C122" s="767" t="str">
        <f>F!C155</f>
        <v>&gt; 99%. AND during most years there is never more than 0.1 ha of ponded surface water within the AA. Enter "1" and SKIP to F43 (Channel Connection).</v>
      </c>
      <c r="D122" s="794">
        <f>F!D155</f>
        <v>0</v>
      </c>
      <c r="E122" s="77">
        <v>5</v>
      </c>
      <c r="F122" s="77">
        <f t="shared" si="5"/>
        <v>0</v>
      </c>
      <c r="G122" s="193"/>
      <c r="H122" s="2254"/>
      <c r="I122" s="2267"/>
      <c r="J122" s="2"/>
      <c r="K122" s="2"/>
    </row>
    <row r="123" spans="1:11" ht="39" thickBot="1" x14ac:dyDescent="0.25">
      <c r="A123" s="2265" t="str">
        <f>F!A202</f>
        <v>F34</v>
      </c>
      <c r="B123" s="250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v>
      </c>
      <c r="H123" s="2252" t="s">
        <v>8949</v>
      </c>
      <c r="I123" s="2271" t="s">
        <v>2315</v>
      </c>
      <c r="J123" s="2"/>
      <c r="K123" s="2"/>
    </row>
    <row r="124" spans="1:11" ht="19.5" customHeight="1" x14ac:dyDescent="0.2">
      <c r="A124" s="2262"/>
      <c r="B124" s="2506"/>
      <c r="C124" s="727" t="str">
        <f>F!C203</f>
        <v>&lt;1 m.</v>
      </c>
      <c r="D124" s="401">
        <f>F!D203</f>
        <v>0</v>
      </c>
      <c r="E124" s="76">
        <v>0</v>
      </c>
      <c r="F124" s="76">
        <f t="shared" ref="F124:F129" si="6">D124*E124</f>
        <v>0</v>
      </c>
      <c r="G124" s="875"/>
      <c r="H124" s="2253"/>
      <c r="I124" s="2266"/>
      <c r="J124" s="2"/>
      <c r="K124" s="2"/>
    </row>
    <row r="125" spans="1:11" ht="19.5" customHeight="1" x14ac:dyDescent="0.2">
      <c r="A125" s="2262"/>
      <c r="B125" s="2506"/>
      <c r="C125" s="766" t="str">
        <f>F!C204</f>
        <v>1 - 9 m.</v>
      </c>
      <c r="D125" s="558">
        <f>F!D204</f>
        <v>0</v>
      </c>
      <c r="E125" s="76">
        <v>1</v>
      </c>
      <c r="F125" s="76">
        <f t="shared" si="6"/>
        <v>0</v>
      </c>
      <c r="G125" s="192"/>
      <c r="H125" s="2253"/>
      <c r="I125" s="2266"/>
      <c r="J125" s="2"/>
      <c r="K125" s="2"/>
    </row>
    <row r="126" spans="1:11" ht="19.5" customHeight="1" x14ac:dyDescent="0.2">
      <c r="A126" s="2262"/>
      <c r="B126" s="2506"/>
      <c r="C126" s="766" t="str">
        <f>F!C205</f>
        <v>10 - 29 m.</v>
      </c>
      <c r="D126" s="558">
        <f>F!D205</f>
        <v>0</v>
      </c>
      <c r="E126" s="76">
        <v>2</v>
      </c>
      <c r="F126" s="76">
        <f t="shared" si="6"/>
        <v>0</v>
      </c>
      <c r="G126" s="192"/>
      <c r="H126" s="2253"/>
      <c r="I126" s="2266"/>
      <c r="J126" s="2"/>
      <c r="K126" s="2"/>
    </row>
    <row r="127" spans="1:11" ht="19.5" customHeight="1" x14ac:dyDescent="0.2">
      <c r="A127" s="2262"/>
      <c r="B127" s="2506"/>
      <c r="C127" s="766" t="str">
        <f>F!C206</f>
        <v>30 - 49 m.</v>
      </c>
      <c r="D127" s="558">
        <f>F!D206</f>
        <v>0</v>
      </c>
      <c r="E127" s="76">
        <v>3</v>
      </c>
      <c r="F127" s="76">
        <f t="shared" si="6"/>
        <v>0</v>
      </c>
      <c r="G127" s="192"/>
      <c r="H127" s="2253"/>
      <c r="I127" s="2266"/>
      <c r="J127" s="2"/>
      <c r="K127" s="2"/>
    </row>
    <row r="128" spans="1:11" ht="19.5" customHeight="1" x14ac:dyDescent="0.2">
      <c r="A128" s="2262"/>
      <c r="B128" s="2506"/>
      <c r="C128" s="766" t="str">
        <f>F!C207</f>
        <v>50 - 100 m.</v>
      </c>
      <c r="D128" s="558">
        <f>F!D207</f>
        <v>0</v>
      </c>
      <c r="E128" s="76">
        <v>4</v>
      </c>
      <c r="F128" s="76">
        <f t="shared" si="6"/>
        <v>0</v>
      </c>
      <c r="G128" s="192"/>
      <c r="H128" s="2253"/>
      <c r="I128" s="2266"/>
      <c r="J128" s="2"/>
      <c r="K128" s="2"/>
    </row>
    <row r="129" spans="1:11" ht="13.5" thickBot="1" x14ac:dyDescent="0.25">
      <c r="A129" s="2263"/>
      <c r="B129" s="2507"/>
      <c r="C129" s="767" t="str">
        <f>F!C208</f>
        <v>&gt; 100 m, or open water is absent at that time.</v>
      </c>
      <c r="D129" s="794">
        <f>F!D208</f>
        <v>0</v>
      </c>
      <c r="E129" s="77">
        <v>6</v>
      </c>
      <c r="F129" s="77">
        <f t="shared" si="6"/>
        <v>0</v>
      </c>
      <c r="G129" s="193"/>
      <c r="H129" s="2254"/>
      <c r="I129" s="2267"/>
      <c r="J129" s="2"/>
      <c r="K129" s="2"/>
    </row>
    <row r="130" spans="1:11" ht="26.25" thickBot="1" x14ac:dyDescent="0.25">
      <c r="A130" s="2284" t="str">
        <f>F!A217</f>
        <v>F36</v>
      </c>
      <c r="B130" s="2508"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52" t="s">
        <v>2316</v>
      </c>
      <c r="I130" s="2271" t="s">
        <v>2317</v>
      </c>
      <c r="J130" s="2"/>
      <c r="K130" s="2"/>
    </row>
    <row r="131" spans="1:11" ht="25.5" x14ac:dyDescent="0.2">
      <c r="A131" s="2262"/>
      <c r="B131" s="2506"/>
      <c r="C131" s="150" t="str">
        <f>F!C218</f>
        <v>Scattered. More than 30% of such vegetation forms small islands or corridors surrounded by water.</v>
      </c>
      <c r="D131" s="401">
        <f>F!D218</f>
        <v>0</v>
      </c>
      <c r="E131" s="76">
        <v>3</v>
      </c>
      <c r="F131" s="76">
        <f>D131*E131</f>
        <v>0</v>
      </c>
      <c r="G131" s="181"/>
      <c r="H131" s="2253"/>
      <c r="I131" s="2266"/>
      <c r="J131" s="2"/>
      <c r="K131" s="2"/>
    </row>
    <row r="132" spans="1:11" x14ac:dyDescent="0.2">
      <c r="A132" s="2262"/>
      <c r="B132" s="2506"/>
      <c r="C132" s="281" t="str">
        <f>F!C219</f>
        <v>Intermediate.</v>
      </c>
      <c r="D132" s="558">
        <f>F!D219</f>
        <v>0</v>
      </c>
      <c r="E132" s="76">
        <v>2</v>
      </c>
      <c r="F132" s="76">
        <f>D132*E132</f>
        <v>0</v>
      </c>
      <c r="G132" s="181"/>
      <c r="H132" s="2253"/>
      <c r="I132" s="2266"/>
    </row>
    <row r="133" spans="1:11" ht="26.25" thickBot="1" x14ac:dyDescent="0.25">
      <c r="A133" s="2262"/>
      <c r="B133" s="2509"/>
      <c r="C133" s="151" t="str">
        <f>F!C220</f>
        <v>Clumped. More than 70% of such vegetation is in bands along the wetland perimeter or is clumped at one or a few sides of the surface water area.</v>
      </c>
      <c r="D133" s="557">
        <f>F!D220</f>
        <v>0</v>
      </c>
      <c r="E133" s="79">
        <v>0</v>
      </c>
      <c r="F133" s="79">
        <f>D133*E133</f>
        <v>0</v>
      </c>
      <c r="G133" s="242"/>
      <c r="H133" s="2254"/>
      <c r="I133" s="2267"/>
    </row>
    <row r="134" spans="1:11" ht="13.5" thickBot="1" x14ac:dyDescent="0.25">
      <c r="A134" s="2265" t="str">
        <f>F!A251</f>
        <v>F47</v>
      </c>
      <c r="B134" s="2505" t="str">
        <f>F!B251</f>
        <v>Beaver Probability [SFTS, CC, APP, FA, FR, AM, WBF, WBN, RSB, KMH, PH, Sens]</v>
      </c>
      <c r="C134" s="63" t="str">
        <f>F!C251</f>
        <v>Use of the AA by beaver during the past 5 years is (select most applicable ONE):</v>
      </c>
      <c r="D134" s="801"/>
      <c r="E134" s="80"/>
      <c r="F134" s="81"/>
      <c r="G134" s="165">
        <f>MAX(F135:F137)/MAX(E135:E137)</f>
        <v>0</v>
      </c>
      <c r="H134" s="2252" t="s">
        <v>2318</v>
      </c>
      <c r="I134" s="2271" t="s">
        <v>2319</v>
      </c>
    </row>
    <row r="135" spans="1:11" ht="25.5" x14ac:dyDescent="0.2">
      <c r="A135" s="2262"/>
      <c r="B135" s="2506"/>
      <c r="C135" s="2" t="str">
        <f>F!C252</f>
        <v>Evident from direct observation or presence of gnawed limbs, dams, tracks, dens, lodges, or extensive stands of water-killed trees (snags).</v>
      </c>
      <c r="D135" s="479">
        <f>F!D252</f>
        <v>0</v>
      </c>
      <c r="E135" s="75">
        <v>3</v>
      </c>
      <c r="F135" s="76">
        <f>D135*E135</f>
        <v>0</v>
      </c>
      <c r="G135" s="191"/>
      <c r="H135" s="2253"/>
      <c r="I135" s="2266"/>
    </row>
    <row r="136" spans="1:11" ht="51" x14ac:dyDescent="0.2">
      <c r="A136" s="2262"/>
      <c r="B136" s="250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253"/>
      <c r="I136" s="2266"/>
    </row>
    <row r="137" spans="1:11" ht="26.25" thickBot="1" x14ac:dyDescent="0.25">
      <c r="A137" s="2263"/>
      <c r="B137" s="250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54"/>
      <c r="I137" s="2267"/>
    </row>
    <row r="138" spans="1:11" ht="39" thickBot="1" x14ac:dyDescent="0.25">
      <c r="A138" s="2262" t="str">
        <f>F!A266</f>
        <v>F50</v>
      </c>
      <c r="B138" s="2508"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v>
      </c>
      <c r="H138" s="2252" t="s">
        <v>2320</v>
      </c>
      <c r="I138" s="2271" t="s">
        <v>2321</v>
      </c>
    </row>
    <row r="139" spans="1:11" x14ac:dyDescent="0.2">
      <c r="A139" s="2262"/>
      <c r="B139" s="2506"/>
      <c r="C139" s="150" t="str">
        <f>F!C267</f>
        <v>&lt;5%.</v>
      </c>
      <c r="D139" s="401">
        <f>F!D267</f>
        <v>0</v>
      </c>
      <c r="E139" s="76">
        <v>0</v>
      </c>
      <c r="F139" s="76">
        <f>D139*E139</f>
        <v>0</v>
      </c>
      <c r="G139" s="192"/>
      <c r="H139" s="2253"/>
      <c r="I139" s="2266"/>
    </row>
    <row r="140" spans="1:11" x14ac:dyDescent="0.2">
      <c r="A140" s="2262"/>
      <c r="B140" s="2506"/>
      <c r="C140" s="281" t="str">
        <f>F!C268</f>
        <v>5 to &lt;30%.</v>
      </c>
      <c r="D140" s="558">
        <f>F!D268</f>
        <v>0</v>
      </c>
      <c r="E140" s="76">
        <v>1</v>
      </c>
      <c r="F140" s="76">
        <f>D140*E140</f>
        <v>0</v>
      </c>
      <c r="G140" s="192"/>
      <c r="H140" s="2253"/>
      <c r="I140" s="2266"/>
    </row>
    <row r="141" spans="1:11" x14ac:dyDescent="0.2">
      <c r="A141" s="2262"/>
      <c r="B141" s="2506"/>
      <c r="C141" s="281" t="str">
        <f>F!C269</f>
        <v>30 to &lt;60%.</v>
      </c>
      <c r="D141" s="558">
        <f>F!D269</f>
        <v>0</v>
      </c>
      <c r="E141" s="76">
        <v>2</v>
      </c>
      <c r="F141" s="76">
        <f>D141*E141</f>
        <v>0</v>
      </c>
      <c r="G141" s="192"/>
      <c r="H141" s="2253"/>
      <c r="I141" s="2266"/>
    </row>
    <row r="142" spans="1:11" x14ac:dyDescent="0.2">
      <c r="A142" s="2262"/>
      <c r="B142" s="2506"/>
      <c r="C142" s="281" t="str">
        <f>F!C270</f>
        <v>60 to 90%.</v>
      </c>
      <c r="D142" s="558">
        <f>F!D270</f>
        <v>0</v>
      </c>
      <c r="E142" s="76">
        <v>4</v>
      </c>
      <c r="F142" s="76">
        <f>D142*E142</f>
        <v>0</v>
      </c>
      <c r="G142" s="192"/>
      <c r="H142" s="2253"/>
      <c r="I142" s="2266"/>
    </row>
    <row r="143" spans="1:11" ht="13.5" thickBot="1" x14ac:dyDescent="0.25">
      <c r="A143" s="2262"/>
      <c r="B143" s="2509"/>
      <c r="C143" s="151" t="str">
        <f>F!C271</f>
        <v>&gt;90%, or all the area within 30 m of the AA edge is other wetlands. SKIP to F53.</v>
      </c>
      <c r="D143" s="557">
        <f>F!D271</f>
        <v>0</v>
      </c>
      <c r="E143" s="79">
        <v>5</v>
      </c>
      <c r="F143" s="79">
        <f>D143*E143</f>
        <v>0</v>
      </c>
      <c r="G143" s="211"/>
      <c r="H143" s="2253"/>
      <c r="I143" s="2267"/>
    </row>
    <row r="144" spans="1:11" ht="39" thickBot="1" x14ac:dyDescent="0.25">
      <c r="A144" s="2379" t="str">
        <f>F!A280</f>
        <v>F53</v>
      </c>
      <c r="B144" s="2246"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271" t="s">
        <v>2322</v>
      </c>
      <c r="I144" s="2252" t="s">
        <v>2323</v>
      </c>
    </row>
    <row r="145" spans="1:9" x14ac:dyDescent="0.2">
      <c r="A145" s="2380"/>
      <c r="B145" s="2247"/>
      <c r="C145" s="700" t="str">
        <f>F!C281</f>
        <v>&lt;3 m or within the AA</v>
      </c>
      <c r="D145" s="1448">
        <f>F!D281</f>
        <v>0</v>
      </c>
      <c r="E145" s="76">
        <v>6</v>
      </c>
      <c r="F145" s="76">
        <f>D145*E145</f>
        <v>0</v>
      </c>
      <c r="G145" s="243"/>
      <c r="H145" s="2266"/>
      <c r="I145" s="2253"/>
    </row>
    <row r="146" spans="1:9" x14ac:dyDescent="0.2">
      <c r="A146" s="2380"/>
      <c r="B146" s="2247"/>
      <c r="C146" s="700" t="str">
        <f>F!C282</f>
        <v>3 to &lt;10 m</v>
      </c>
      <c r="D146" s="1448">
        <f>F!D282</f>
        <v>0</v>
      </c>
      <c r="E146" s="76">
        <v>4</v>
      </c>
      <c r="F146" s="76">
        <f>D146*E146</f>
        <v>0</v>
      </c>
      <c r="G146" s="181"/>
      <c r="H146" s="2266"/>
      <c r="I146" s="2253"/>
    </row>
    <row r="147" spans="1:9" x14ac:dyDescent="0.2">
      <c r="A147" s="2380"/>
      <c r="B147" s="2247"/>
      <c r="C147" s="700" t="str">
        <f>F!C283</f>
        <v>10 to &lt;30 m</v>
      </c>
      <c r="D147" s="1448">
        <f>F!D283</f>
        <v>0</v>
      </c>
      <c r="E147" s="76">
        <v>3</v>
      </c>
      <c r="F147" s="76">
        <f>D147*E147</f>
        <v>0</v>
      </c>
      <c r="G147" s="181"/>
      <c r="H147" s="2266"/>
      <c r="I147" s="2253"/>
    </row>
    <row r="148" spans="1:9" x14ac:dyDescent="0.2">
      <c r="A148" s="2380"/>
      <c r="B148" s="2247"/>
      <c r="C148" s="700" t="str">
        <f>F!C284</f>
        <v>30 to 100 m</v>
      </c>
      <c r="D148" s="1448">
        <f>F!D284</f>
        <v>0</v>
      </c>
      <c r="E148" s="76">
        <v>2</v>
      </c>
      <c r="F148" s="76">
        <f>D148*E148</f>
        <v>0</v>
      </c>
      <c r="G148" s="181"/>
      <c r="H148" s="2266"/>
      <c r="I148" s="2253"/>
    </row>
    <row r="149" spans="1:9" ht="13.5" thickBot="1" x14ac:dyDescent="0.25">
      <c r="A149" s="2381"/>
      <c r="B149" s="2248"/>
      <c r="C149" s="696" t="str">
        <f>F!C285</f>
        <v>&gt; 100 m</v>
      </c>
      <c r="D149" s="1449">
        <f>F!D285</f>
        <v>0</v>
      </c>
      <c r="E149" s="77">
        <v>0</v>
      </c>
      <c r="F149" s="77">
        <f>D149*E149</f>
        <v>0</v>
      </c>
      <c r="G149" s="182"/>
      <c r="H149" s="2267"/>
      <c r="I149" s="2254"/>
    </row>
    <row r="150" spans="1:9" ht="26.25" thickBot="1" x14ac:dyDescent="0.25">
      <c r="A150" s="2262" t="str">
        <f>F!A308</f>
        <v>F58</v>
      </c>
      <c r="B150" s="2588"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v>
      </c>
      <c r="H150" s="2332" t="s">
        <v>8974</v>
      </c>
      <c r="I150" s="2271" t="s">
        <v>2324</v>
      </c>
    </row>
    <row r="151" spans="1:9" x14ac:dyDescent="0.2">
      <c r="A151" s="2262"/>
      <c r="B151" s="2544"/>
      <c r="C151" s="853" t="str">
        <f>F!C309</f>
        <v>&lt;5% and no inhabited building is within 100 m of the AA.</v>
      </c>
      <c r="D151" s="803">
        <f>F!D309</f>
        <v>0</v>
      </c>
      <c r="E151" s="93">
        <v>1</v>
      </c>
      <c r="F151" s="76">
        <f t="shared" ref="F151:F156" si="7">D151*E151</f>
        <v>0</v>
      </c>
      <c r="G151" s="191"/>
      <c r="H151" s="2332"/>
      <c r="I151" s="2266"/>
    </row>
    <row r="152" spans="1:9" x14ac:dyDescent="0.2">
      <c r="A152" s="2262"/>
      <c r="B152" s="2544"/>
      <c r="C152" s="2" t="str">
        <f>F!C310</f>
        <v>&lt;5% and inhabited building is within 100 m of the AA.</v>
      </c>
      <c r="D152" s="479">
        <f>F!D310</f>
        <v>0</v>
      </c>
      <c r="E152" s="93">
        <v>0</v>
      </c>
      <c r="F152" s="76">
        <f t="shared" si="7"/>
        <v>0</v>
      </c>
      <c r="G152" s="192"/>
      <c r="H152" s="2332"/>
      <c r="I152" s="2266"/>
    </row>
    <row r="153" spans="1:9" x14ac:dyDescent="0.2">
      <c r="A153" s="2262"/>
      <c r="B153" s="2544"/>
      <c r="C153" s="281" t="str">
        <f>F!C311</f>
        <v>5-50% and no inhabited building is within 100 m of the AA.</v>
      </c>
      <c r="D153" s="558">
        <f>F!D311</f>
        <v>0</v>
      </c>
      <c r="E153" s="93">
        <v>3</v>
      </c>
      <c r="F153" s="76">
        <f t="shared" si="7"/>
        <v>0</v>
      </c>
      <c r="G153" s="192"/>
      <c r="H153" s="2332"/>
      <c r="I153" s="2266"/>
    </row>
    <row r="154" spans="1:9" x14ac:dyDescent="0.2">
      <c r="A154" s="2262"/>
      <c r="B154" s="2544"/>
      <c r="C154" s="2" t="str">
        <f>F!C312</f>
        <v>5-50% and inhabited building is within 100 m of the AA.</v>
      </c>
      <c r="D154" s="479">
        <f>F!D312</f>
        <v>0</v>
      </c>
      <c r="E154" s="93">
        <v>2</v>
      </c>
      <c r="F154" s="76">
        <f t="shared" si="7"/>
        <v>0</v>
      </c>
      <c r="G154" s="211"/>
      <c r="H154" s="2332"/>
      <c r="I154" s="2266"/>
    </row>
    <row r="155" spans="1:9" x14ac:dyDescent="0.2">
      <c r="A155" s="2262"/>
      <c r="B155" s="2544"/>
      <c r="C155" s="281" t="str">
        <f>F!C313</f>
        <v>50-95%, with or without inhabited building nearby.</v>
      </c>
      <c r="D155" s="558">
        <f>F!D313</f>
        <v>0</v>
      </c>
      <c r="E155" s="93">
        <v>4</v>
      </c>
      <c r="F155" s="76">
        <f t="shared" si="7"/>
        <v>0</v>
      </c>
      <c r="G155" s="211"/>
      <c r="H155" s="2332"/>
      <c r="I155" s="2266"/>
    </row>
    <row r="156" spans="1:9" ht="13.5" thickBot="1" x14ac:dyDescent="0.25">
      <c r="A156" s="2262"/>
      <c r="B156" s="2589"/>
      <c r="C156" s="2" t="str">
        <f>F!C314</f>
        <v>&gt;95% of the AA with or without inhabited building nearby.</v>
      </c>
      <c r="D156" s="479">
        <f>F!D314</f>
        <v>0</v>
      </c>
      <c r="E156" s="95">
        <v>5</v>
      </c>
      <c r="F156" s="79">
        <f t="shared" si="7"/>
        <v>0</v>
      </c>
      <c r="G156" s="211"/>
      <c r="H156" s="2333"/>
      <c r="I156" s="2267"/>
    </row>
    <row r="157" spans="1:9" ht="26.25" thickBot="1" x14ac:dyDescent="0.25">
      <c r="A157" s="2265" t="str">
        <f>F!A316</f>
        <v>F59</v>
      </c>
      <c r="B157" s="2543"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v>
      </c>
      <c r="H157" s="2334" t="s">
        <v>1148</v>
      </c>
      <c r="I157" s="2271" t="s">
        <v>2325</v>
      </c>
    </row>
    <row r="158" spans="1:9" ht="25.5" x14ac:dyDescent="0.2">
      <c r="A158" s="2262"/>
      <c r="B158" s="2544"/>
      <c r="C158" s="150" t="str">
        <f>F!C317</f>
        <v>&lt;5%. If F58 was answered "&gt;95%" (mostly never visited), SKIP to F62 (Consumptive Uses).</v>
      </c>
      <c r="D158" s="401">
        <f>F!D317</f>
        <v>0</v>
      </c>
      <c r="E158" s="93">
        <v>3</v>
      </c>
      <c r="F158" s="76">
        <f>D158*E158</f>
        <v>0</v>
      </c>
      <c r="G158" s="191"/>
      <c r="H158" s="2332"/>
      <c r="I158" s="2266"/>
    </row>
    <row r="159" spans="1:9" x14ac:dyDescent="0.2">
      <c r="A159" s="2262"/>
      <c r="B159" s="2544"/>
      <c r="C159" s="281" t="str">
        <f>F!C318</f>
        <v>5-50%.</v>
      </c>
      <c r="D159" s="558">
        <f>F!D318</f>
        <v>0</v>
      </c>
      <c r="E159" s="93">
        <v>2</v>
      </c>
      <c r="F159" s="76">
        <f>D159*E159</f>
        <v>0</v>
      </c>
      <c r="G159" s="192"/>
      <c r="H159" s="2332"/>
      <c r="I159" s="2266"/>
    </row>
    <row r="160" spans="1:9" x14ac:dyDescent="0.2">
      <c r="A160" s="2262"/>
      <c r="B160" s="2544"/>
      <c r="C160" s="281" t="str">
        <f>F!C319</f>
        <v>50-95%.</v>
      </c>
      <c r="D160" s="558">
        <f>F!D319</f>
        <v>0</v>
      </c>
      <c r="E160" s="93">
        <v>1</v>
      </c>
      <c r="F160" s="76">
        <f>D160*E160</f>
        <v>0</v>
      </c>
      <c r="G160" s="192"/>
      <c r="H160" s="2332"/>
      <c r="I160" s="2266"/>
    </row>
    <row r="161" spans="1:9" ht="13.5" thickBot="1" x14ac:dyDescent="0.25">
      <c r="A161" s="2262"/>
      <c r="B161" s="2589"/>
      <c r="C161" s="151" t="str">
        <f>F!C320</f>
        <v>&gt;95% of the AA.</v>
      </c>
      <c r="D161" s="557">
        <f>F!D320</f>
        <v>0</v>
      </c>
      <c r="E161" s="95">
        <v>0</v>
      </c>
      <c r="F161" s="79">
        <f>D161*E161</f>
        <v>0</v>
      </c>
      <c r="G161" s="211"/>
      <c r="H161" s="2332"/>
      <c r="I161" s="2266"/>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59" t="str">
        <f>OF!A18</f>
        <v>OF3</v>
      </c>
      <c r="B166" s="2508"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v>
      </c>
      <c r="H166" s="2266" t="s">
        <v>2329</v>
      </c>
      <c r="I166" s="2266" t="s">
        <v>2330</v>
      </c>
    </row>
    <row r="167" spans="1:9" s="10" customFormat="1" x14ac:dyDescent="0.2">
      <c r="A167" s="2259"/>
      <c r="B167" s="2506"/>
      <c r="C167" s="766" t="str">
        <f>OF!C19</f>
        <v>&lt;0.01 hectare (about 10 m x 10 m).</v>
      </c>
      <c r="D167" s="558">
        <f>OF!D19</f>
        <v>0</v>
      </c>
      <c r="E167" s="76">
        <v>7</v>
      </c>
      <c r="F167" s="76">
        <f t="shared" ref="F167:F172" si="8">D167*E167</f>
        <v>0</v>
      </c>
      <c r="G167" s="192"/>
      <c r="H167" s="2266"/>
      <c r="I167" s="2266"/>
    </row>
    <row r="168" spans="1:9" s="10" customFormat="1" x14ac:dyDescent="0.2">
      <c r="A168" s="2259"/>
      <c r="B168" s="2506"/>
      <c r="C168" s="766" t="str">
        <f>OF!C20</f>
        <v>0.01 - 0.1 hectare.</v>
      </c>
      <c r="D168" s="558">
        <f>OF!D20</f>
        <v>0</v>
      </c>
      <c r="E168" s="76">
        <v>5</v>
      </c>
      <c r="F168" s="76">
        <f t="shared" si="8"/>
        <v>0</v>
      </c>
      <c r="G168" s="192"/>
      <c r="H168" s="2266"/>
      <c r="I168" s="2266"/>
    </row>
    <row r="169" spans="1:9" s="10" customFormat="1" x14ac:dyDescent="0.2">
      <c r="A169" s="2259"/>
      <c r="B169" s="2506"/>
      <c r="C169" s="766" t="str">
        <f>OF!C21</f>
        <v>0.1 - 1 hectare.</v>
      </c>
      <c r="D169" s="558">
        <f>OF!D21</f>
        <v>0</v>
      </c>
      <c r="E169" s="76">
        <v>4</v>
      </c>
      <c r="F169" s="76">
        <f t="shared" si="8"/>
        <v>0</v>
      </c>
      <c r="G169" s="192"/>
      <c r="H169" s="2266"/>
      <c r="I169" s="2266"/>
    </row>
    <row r="170" spans="1:9" s="10" customFormat="1" x14ac:dyDescent="0.2">
      <c r="A170" s="2259"/>
      <c r="B170" s="2506"/>
      <c r="C170" s="766" t="str">
        <f>OF!C22</f>
        <v>1 to 10 hectares.</v>
      </c>
      <c r="D170" s="558">
        <f>OF!D22</f>
        <v>0</v>
      </c>
      <c r="E170" s="76">
        <v>3</v>
      </c>
      <c r="F170" s="76">
        <f t="shared" si="8"/>
        <v>0</v>
      </c>
      <c r="G170" s="192"/>
      <c r="H170" s="2266"/>
      <c r="I170" s="2266"/>
    </row>
    <row r="171" spans="1:9" s="10" customFormat="1" x14ac:dyDescent="0.2">
      <c r="A171" s="2259"/>
      <c r="B171" s="2506"/>
      <c r="C171" s="766" t="str">
        <f>OF!C23</f>
        <v>10 to 100 hectares.</v>
      </c>
      <c r="D171" s="558">
        <f>OF!D23</f>
        <v>0</v>
      </c>
      <c r="E171" s="76">
        <v>2</v>
      </c>
      <c r="F171" s="76">
        <f t="shared" si="8"/>
        <v>0</v>
      </c>
      <c r="G171" s="192"/>
      <c r="H171" s="2266"/>
      <c r="I171" s="2266"/>
    </row>
    <row r="172" spans="1:9" s="10" customFormat="1" ht="13.5" thickBot="1" x14ac:dyDescent="0.25">
      <c r="A172" s="2259"/>
      <c r="B172" s="2509"/>
      <c r="C172" s="1356" t="str">
        <f>OF!C24</f>
        <v>&gt;100 hectares.</v>
      </c>
      <c r="D172" s="557">
        <f>OF!D24</f>
        <v>0</v>
      </c>
      <c r="E172" s="79">
        <v>0</v>
      </c>
      <c r="F172" s="79">
        <f t="shared" si="8"/>
        <v>0</v>
      </c>
      <c r="G172" s="211"/>
      <c r="H172" s="2266"/>
      <c r="I172" s="2266"/>
    </row>
    <row r="173" spans="1:9" s="10" customFormat="1" ht="39" thickBot="1" x14ac:dyDescent="0.25">
      <c r="A173" s="2258" t="str">
        <f>OF!A25</f>
        <v>OF4</v>
      </c>
      <c r="B173" s="250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v>
      </c>
      <c r="H173" s="2252" t="s">
        <v>1148</v>
      </c>
      <c r="I173" s="2271" t="s">
        <v>2331</v>
      </c>
    </row>
    <row r="174" spans="1:9" s="10" customFormat="1" x14ac:dyDescent="0.2">
      <c r="A174" s="2259"/>
      <c r="B174" s="2506"/>
      <c r="C174" s="766" t="str">
        <f>OF!C26</f>
        <v>&lt;0.01 hectare (about 10 m x 10 m).</v>
      </c>
      <c r="D174" s="558">
        <f>OF!D26</f>
        <v>0</v>
      </c>
      <c r="E174" s="76">
        <v>8</v>
      </c>
      <c r="F174" s="76">
        <f t="shared" ref="F174:F180" si="9">D174*E174</f>
        <v>0</v>
      </c>
      <c r="G174" s="191"/>
      <c r="H174" s="2253"/>
      <c r="I174" s="2266"/>
    </row>
    <row r="175" spans="1:9" s="10" customFormat="1" x14ac:dyDescent="0.2">
      <c r="A175" s="2259"/>
      <c r="B175" s="2506"/>
      <c r="C175" s="766" t="str">
        <f>OF!C27</f>
        <v>0.01 - 0.1 hectare.</v>
      </c>
      <c r="D175" s="558">
        <f>OF!D27</f>
        <v>0</v>
      </c>
      <c r="E175" s="76">
        <v>7</v>
      </c>
      <c r="F175" s="76">
        <f t="shared" si="9"/>
        <v>0</v>
      </c>
      <c r="G175" s="192"/>
      <c r="H175" s="2253"/>
      <c r="I175" s="2266"/>
    </row>
    <row r="176" spans="1:9" s="10" customFormat="1" x14ac:dyDescent="0.2">
      <c r="A176" s="2259"/>
      <c r="B176" s="2506"/>
      <c r="C176" s="766" t="str">
        <f>OF!C28</f>
        <v>0.1 - 1 hectare.</v>
      </c>
      <c r="D176" s="558">
        <f>OF!D28</f>
        <v>0</v>
      </c>
      <c r="E176" s="76">
        <v>5</v>
      </c>
      <c r="F176" s="76">
        <f t="shared" si="9"/>
        <v>0</v>
      </c>
      <c r="G176" s="192"/>
      <c r="H176" s="2253"/>
      <c r="I176" s="2266"/>
    </row>
    <row r="177" spans="1:9" s="10" customFormat="1" x14ac:dyDescent="0.2">
      <c r="A177" s="2259"/>
      <c r="B177" s="2506"/>
      <c r="C177" s="766" t="str">
        <f>OF!C29</f>
        <v>1 to 10 hectares.</v>
      </c>
      <c r="D177" s="558">
        <f>OF!D29</f>
        <v>0</v>
      </c>
      <c r="E177" s="76">
        <v>4</v>
      </c>
      <c r="F177" s="76">
        <f t="shared" si="9"/>
        <v>0</v>
      </c>
      <c r="G177" s="192"/>
      <c r="H177" s="2253"/>
      <c r="I177" s="2266"/>
    </row>
    <row r="178" spans="1:9" s="10" customFormat="1" x14ac:dyDescent="0.2">
      <c r="A178" s="2259"/>
      <c r="B178" s="2506"/>
      <c r="C178" s="766" t="str">
        <f>OF!C30</f>
        <v>10 to 100 hectares.</v>
      </c>
      <c r="D178" s="558">
        <f>OF!D30</f>
        <v>0</v>
      </c>
      <c r="E178" s="76">
        <v>2</v>
      </c>
      <c r="F178" s="76">
        <f t="shared" si="9"/>
        <v>0</v>
      </c>
      <c r="G178" s="192"/>
      <c r="H178" s="2253"/>
      <c r="I178" s="2266"/>
    </row>
    <row r="179" spans="1:9" s="10" customFormat="1" x14ac:dyDescent="0.2">
      <c r="A179" s="2259"/>
      <c r="B179" s="2506"/>
      <c r="C179" s="766" t="str">
        <f>OF!C31</f>
        <v>100 to 1000 hectares.</v>
      </c>
      <c r="D179" s="558">
        <f>OF!D31</f>
        <v>0</v>
      </c>
      <c r="E179" s="76">
        <v>1</v>
      </c>
      <c r="F179" s="76">
        <f t="shared" si="9"/>
        <v>0</v>
      </c>
      <c r="G179" s="192"/>
      <c r="H179" s="2253"/>
      <c r="I179" s="2266"/>
    </row>
    <row r="180" spans="1:9" s="10" customFormat="1" ht="13.5" thickBot="1" x14ac:dyDescent="0.25">
      <c r="A180" s="2260"/>
      <c r="B180" s="2507"/>
      <c r="C180" s="767" t="str">
        <f>OF!C32</f>
        <v>&gt;1000 hectares. [This is nearly always the answer in relatively undeveloped landscapes.]</v>
      </c>
      <c r="D180" s="794">
        <f>OF!D32</f>
        <v>0</v>
      </c>
      <c r="E180" s="77">
        <v>0</v>
      </c>
      <c r="F180" s="77">
        <f t="shared" si="9"/>
        <v>0</v>
      </c>
      <c r="G180" s="193"/>
      <c r="H180" s="2254"/>
      <c r="I180" s="2267"/>
    </row>
    <row r="181" spans="1:9" s="10" customFormat="1" ht="39" thickBot="1" x14ac:dyDescent="0.25">
      <c r="A181" s="2259" t="str">
        <f>OF!A33</f>
        <v>OF5</v>
      </c>
      <c r="B181" s="2508"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v>
      </c>
      <c r="H181" s="2253" t="s">
        <v>1148</v>
      </c>
      <c r="I181" s="2271" t="s">
        <v>2332</v>
      </c>
    </row>
    <row r="182" spans="1:9" s="10" customFormat="1" ht="40.5" customHeight="1" x14ac:dyDescent="0.2">
      <c r="A182" s="2259"/>
      <c r="B182" s="250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53"/>
      <c r="I182" s="2266"/>
    </row>
    <row r="183" spans="1:9" s="10" customFormat="1" ht="25.5" x14ac:dyDescent="0.2">
      <c r="A183" s="2259"/>
      <c r="B183" s="2506"/>
      <c r="C183" s="766" t="str">
        <f>OF!C35</f>
        <v>&lt;50 m, but completely separated from the 375-ha vegetated area by those features, and AA does not contain &gt;375 ha of vegetation.</v>
      </c>
      <c r="D183" s="558">
        <f>OF!D35</f>
        <v>0</v>
      </c>
      <c r="E183" s="76">
        <v>2</v>
      </c>
      <c r="F183" s="76">
        <f t="shared" si="10"/>
        <v>0</v>
      </c>
      <c r="G183" s="192"/>
      <c r="H183" s="2253"/>
      <c r="I183" s="2266"/>
    </row>
    <row r="184" spans="1:9" s="10" customFormat="1" x14ac:dyDescent="0.2">
      <c r="A184" s="2259"/>
      <c r="B184" s="2506"/>
      <c r="C184" s="766" t="str">
        <f>OF!C36</f>
        <v>50-500 m, and not separated.</v>
      </c>
      <c r="D184" s="558">
        <f>OF!D36</f>
        <v>0</v>
      </c>
      <c r="E184" s="76">
        <v>3</v>
      </c>
      <c r="F184" s="76">
        <f t="shared" si="10"/>
        <v>0</v>
      </c>
      <c r="G184" s="192"/>
      <c r="H184" s="2253"/>
      <c r="I184" s="2266"/>
    </row>
    <row r="185" spans="1:9" s="10" customFormat="1" x14ac:dyDescent="0.2">
      <c r="A185" s="2259"/>
      <c r="B185" s="2506"/>
      <c r="C185" s="766" t="str">
        <f>OF!C37</f>
        <v>50-500 m, but separated by those features.</v>
      </c>
      <c r="D185" s="558">
        <f>OF!D37</f>
        <v>0</v>
      </c>
      <c r="E185" s="76">
        <v>4</v>
      </c>
      <c r="F185" s="76">
        <f t="shared" si="10"/>
        <v>0</v>
      </c>
      <c r="G185" s="192"/>
      <c r="H185" s="2253"/>
      <c r="I185" s="2266"/>
    </row>
    <row r="186" spans="1:9" s="10" customFormat="1" x14ac:dyDescent="0.2">
      <c r="A186" s="2259"/>
      <c r="B186" s="2506"/>
      <c r="C186" s="766" t="str">
        <f>OF!C38</f>
        <v>0.5 - 5 km, and not separated.</v>
      </c>
      <c r="D186" s="558">
        <f>OF!D38</f>
        <v>0</v>
      </c>
      <c r="E186" s="76">
        <v>5</v>
      </c>
      <c r="F186" s="76">
        <f t="shared" si="10"/>
        <v>0</v>
      </c>
      <c r="G186" s="192"/>
      <c r="H186" s="2253"/>
      <c r="I186" s="2266"/>
    </row>
    <row r="187" spans="1:9" s="10" customFormat="1" x14ac:dyDescent="0.2">
      <c r="A187" s="2259"/>
      <c r="B187" s="2506"/>
      <c r="C187" s="766" t="str">
        <f>OF!C39</f>
        <v>0.5 - 5 km, but separated by those features.</v>
      </c>
      <c r="D187" s="558">
        <f>OF!D39</f>
        <v>0</v>
      </c>
      <c r="E187" s="76">
        <v>6</v>
      </c>
      <c r="F187" s="76">
        <f t="shared" si="10"/>
        <v>0</v>
      </c>
      <c r="G187" s="192"/>
      <c r="H187" s="2253"/>
      <c r="I187" s="2266"/>
    </row>
    <row r="188" spans="1:9" s="10" customFormat="1" ht="13.5" thickBot="1" x14ac:dyDescent="0.25">
      <c r="A188" s="2259"/>
      <c r="B188" s="2509"/>
      <c r="C188" s="1356" t="str">
        <f>OF!C40</f>
        <v>None of the above (the closest patches or corridors which are that large are &gt;5 km away).</v>
      </c>
      <c r="D188" s="557">
        <f>OF!D40</f>
        <v>0</v>
      </c>
      <c r="E188" s="79">
        <v>7</v>
      </c>
      <c r="F188" s="79">
        <f t="shared" si="10"/>
        <v>0</v>
      </c>
      <c r="G188" s="211"/>
      <c r="H188" s="2253"/>
      <c r="I188" s="2267"/>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2335</v>
      </c>
      <c r="I190" s="289" t="s">
        <v>2336</v>
      </c>
    </row>
    <row r="191" spans="1:9" ht="51.75" thickBot="1" x14ac:dyDescent="0.25">
      <c r="A191" s="1154" t="str">
        <f>OF!A46</f>
        <v>OF8</v>
      </c>
      <c r="B191" s="2246"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v>
      </c>
      <c r="H191" s="2271" t="s">
        <v>2337</v>
      </c>
      <c r="I191" s="416" t="s">
        <v>2338</v>
      </c>
    </row>
    <row r="192" spans="1:9" x14ac:dyDescent="0.2">
      <c r="A192" s="1155"/>
      <c r="B192" s="2247"/>
      <c r="C192" s="281" t="str">
        <f>OF!C47</f>
        <v xml:space="preserve">&lt;5% of the land. </v>
      </c>
      <c r="D192" s="558">
        <f>OF!D47</f>
        <v>0</v>
      </c>
      <c r="E192" s="93">
        <v>6</v>
      </c>
      <c r="F192" s="76">
        <f>D192*E192</f>
        <v>0</v>
      </c>
      <c r="G192" s="599"/>
      <c r="H192" s="2266"/>
      <c r="I192" s="289"/>
    </row>
    <row r="193" spans="1:10" x14ac:dyDescent="0.2">
      <c r="A193" s="1155"/>
      <c r="B193" s="2247"/>
      <c r="C193" s="281" t="str">
        <f>OF!C48</f>
        <v>5 to 20% of the land.</v>
      </c>
      <c r="D193" s="558">
        <f>OF!D48</f>
        <v>0</v>
      </c>
      <c r="E193" s="93">
        <v>4</v>
      </c>
      <c r="F193" s="76">
        <f>D193*E193</f>
        <v>0</v>
      </c>
      <c r="G193" s="578"/>
      <c r="H193" s="2266"/>
      <c r="I193" s="289"/>
    </row>
    <row r="194" spans="1:10" x14ac:dyDescent="0.2">
      <c r="A194" s="1155"/>
      <c r="B194" s="2247"/>
      <c r="C194" s="281" t="str">
        <f>OF!C49</f>
        <v>20 to 60% of the land.</v>
      </c>
      <c r="D194" s="558">
        <f>OF!D49</f>
        <v>0</v>
      </c>
      <c r="E194" s="93">
        <v>3</v>
      </c>
      <c r="F194" s="76">
        <f>D194*E194</f>
        <v>0</v>
      </c>
      <c r="G194" s="578"/>
      <c r="H194" s="2266"/>
      <c r="I194" s="289"/>
    </row>
    <row r="195" spans="1:10" x14ac:dyDescent="0.2">
      <c r="A195" s="1155"/>
      <c r="B195" s="2247"/>
      <c r="C195" s="281" t="str">
        <f>OF!C50</f>
        <v>60 to 90% of the land.</v>
      </c>
      <c r="D195" s="558">
        <f>OF!D50</f>
        <v>0</v>
      </c>
      <c r="E195" s="93">
        <v>2</v>
      </c>
      <c r="F195" s="76">
        <f>D195*E195</f>
        <v>0</v>
      </c>
      <c r="G195" s="578"/>
      <c r="H195" s="2266"/>
      <c r="I195" s="289"/>
    </row>
    <row r="196" spans="1:10" ht="13.5" thickBot="1" x14ac:dyDescent="0.25">
      <c r="A196" s="1157"/>
      <c r="B196" s="2248"/>
      <c r="C196" s="249" t="str">
        <f>OF!C51</f>
        <v xml:space="preserve">&gt;90% of the land. </v>
      </c>
      <c r="D196" s="794">
        <f>OF!D51</f>
        <v>0</v>
      </c>
      <c r="E196" s="97">
        <v>0</v>
      </c>
      <c r="F196" s="77">
        <f>D196*E196</f>
        <v>0</v>
      </c>
      <c r="G196" s="579"/>
      <c r="H196" s="2267"/>
      <c r="I196" s="290"/>
    </row>
    <row r="197" spans="1:10" ht="26.25" thickBot="1" x14ac:dyDescent="0.25">
      <c r="A197" s="2259" t="str">
        <f>OF!A74</f>
        <v>OF13</v>
      </c>
      <c r="B197" s="2508"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53" t="s">
        <v>2339</v>
      </c>
      <c r="I197" s="2253" t="s">
        <v>2340</v>
      </c>
    </row>
    <row r="198" spans="1:10" ht="25.5" x14ac:dyDescent="0.2">
      <c r="A198" s="2259"/>
      <c r="B198" s="250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53"/>
      <c r="I198" s="2253"/>
      <c r="J198" s="2"/>
    </row>
    <row r="199" spans="1:10" x14ac:dyDescent="0.2">
      <c r="A199" s="2259"/>
      <c r="B199" s="2506"/>
      <c r="C199" s="281" t="str">
        <f>OF!C76</f>
        <v>&lt;50 m, but completely separated by those features.</v>
      </c>
      <c r="D199" s="558">
        <f>OF!D76</f>
        <v>0</v>
      </c>
      <c r="E199" s="93">
        <v>0</v>
      </c>
      <c r="F199" s="76">
        <f t="shared" si="11"/>
        <v>0</v>
      </c>
      <c r="G199" s="1453"/>
      <c r="H199" s="2253"/>
      <c r="I199" s="2253"/>
      <c r="J199" s="2"/>
    </row>
    <row r="200" spans="1:10" x14ac:dyDescent="0.2">
      <c r="A200" s="2259"/>
      <c r="B200" s="2506"/>
      <c r="C200" s="281" t="str">
        <f>OF!C77</f>
        <v>50-500 m, and not separated.</v>
      </c>
      <c r="D200" s="558">
        <f>OF!D77</f>
        <v>0</v>
      </c>
      <c r="E200" s="93">
        <v>1</v>
      </c>
      <c r="F200" s="76">
        <f t="shared" si="11"/>
        <v>0</v>
      </c>
      <c r="G200" s="1453"/>
      <c r="H200" s="2253"/>
      <c r="I200" s="2253"/>
      <c r="J200" s="2"/>
    </row>
    <row r="201" spans="1:10" x14ac:dyDescent="0.2">
      <c r="A201" s="2259"/>
      <c r="B201" s="2506"/>
      <c r="C201" s="281" t="str">
        <f>OF!C78</f>
        <v>50-500 m, but separated by those features.</v>
      </c>
      <c r="D201" s="558">
        <f>OF!D78</f>
        <v>0</v>
      </c>
      <c r="E201" s="93">
        <v>1</v>
      </c>
      <c r="F201" s="76">
        <f t="shared" si="11"/>
        <v>0</v>
      </c>
      <c r="G201" s="1453"/>
      <c r="H201" s="2253"/>
      <c r="I201" s="2253"/>
      <c r="J201" s="2"/>
    </row>
    <row r="202" spans="1:10" x14ac:dyDescent="0.2">
      <c r="A202" s="2259"/>
      <c r="B202" s="2506"/>
      <c r="C202" s="281" t="str">
        <f>OF!C79</f>
        <v>0.5 - 1 km, and not separated.</v>
      </c>
      <c r="D202" s="558">
        <f>OF!D79</f>
        <v>0</v>
      </c>
      <c r="E202" s="93">
        <v>2</v>
      </c>
      <c r="F202" s="76">
        <f t="shared" si="11"/>
        <v>0</v>
      </c>
      <c r="G202" s="1453"/>
      <c r="H202" s="2253"/>
      <c r="I202" s="2253"/>
      <c r="J202" s="2"/>
    </row>
    <row r="203" spans="1:10" x14ac:dyDescent="0.2">
      <c r="A203" s="2259"/>
      <c r="B203" s="2506"/>
      <c r="C203" s="281" t="str">
        <f>OF!C80</f>
        <v>0.5 - 1 km, but separated by those features.</v>
      </c>
      <c r="D203" s="558">
        <f>OF!D80</f>
        <v>0</v>
      </c>
      <c r="E203" s="93">
        <v>2</v>
      </c>
      <c r="F203" s="76">
        <f t="shared" si="11"/>
        <v>0</v>
      </c>
      <c r="G203" s="1453"/>
      <c r="H203" s="2253"/>
      <c r="I203" s="2253"/>
      <c r="J203" s="2"/>
    </row>
    <row r="204" spans="1:10" ht="13.5" thickBot="1" x14ac:dyDescent="0.25">
      <c r="A204" s="2259"/>
      <c r="B204" s="2509"/>
      <c r="C204" s="151" t="str">
        <f>OF!C81</f>
        <v>None of the above (the closest patches or corridors that large are &gt;1 km away).</v>
      </c>
      <c r="D204" s="557">
        <f>OF!D81</f>
        <v>0</v>
      </c>
      <c r="E204" s="95">
        <v>4</v>
      </c>
      <c r="F204" s="79">
        <f t="shared" si="11"/>
        <v>0</v>
      </c>
      <c r="G204" s="1454"/>
      <c r="H204" s="2253"/>
      <c r="I204" s="2254"/>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60" t="str">
        <f>F!A304</f>
        <v>F57</v>
      </c>
      <c r="B207" s="2246" t="str">
        <f>F!B304</f>
        <v>Non-consumptive Uses - Actual or Potential [WBFb, CRI, STR]</v>
      </c>
      <c r="C207" s="894" t="str">
        <f>F!C304</f>
        <v>Assuming access permission was granted, select ALL statements that are true of the AA as it currently exists:</v>
      </c>
      <c r="D207" s="768"/>
      <c r="E207" s="122"/>
      <c r="F207" s="187"/>
      <c r="G207" s="121">
        <f>SUM(D208:D210)/3</f>
        <v>0</v>
      </c>
      <c r="H207" s="2655" t="s">
        <v>8575</v>
      </c>
      <c r="I207" s="416" t="s">
        <v>8576</v>
      </c>
      <c r="J207" s="2"/>
    </row>
    <row r="208" spans="1:10" ht="25.5" x14ac:dyDescent="0.2">
      <c r="A208" s="2361"/>
      <c r="B208" s="2247"/>
      <c r="C208" s="303" t="str">
        <f>F!C305</f>
        <v>For an average person, walking is physically possible in (not just near) &gt;5% of the AA during most of the growing season, e.g., free of deep water and dense shrub thickets.</v>
      </c>
      <c r="D208" s="399">
        <f>F!D305</f>
        <v>0</v>
      </c>
      <c r="E208" s="93"/>
      <c r="F208" s="1865"/>
      <c r="G208" s="260"/>
      <c r="H208" s="2656"/>
      <c r="I208" s="289"/>
      <c r="J208" s="2"/>
    </row>
    <row r="209" spans="1:10" ht="25.5" x14ac:dyDescent="0.2">
      <c r="A209" s="2361"/>
      <c r="B209" s="2247"/>
      <c r="C209" s="303" t="str">
        <f>F!C306</f>
        <v>Maintained roads, parking areas, or foot-trails are within 10 m of the AA, or the AA can be accessed part of the year by boats arriving via contiguous waters.</v>
      </c>
      <c r="D209" s="399">
        <f>F!D306</f>
        <v>0</v>
      </c>
      <c r="E209" s="93"/>
      <c r="F209" s="1865"/>
      <c r="G209" s="261"/>
      <c r="H209" s="2656"/>
      <c r="I209" s="289"/>
      <c r="J209" s="2"/>
    </row>
    <row r="210" spans="1:10" ht="26.25" thickBot="1" x14ac:dyDescent="0.25">
      <c r="A210" s="2362"/>
      <c r="B210" s="2248"/>
      <c r="C210" s="571" t="str">
        <f>F!C307</f>
        <v xml:space="preserve">Within or near the AA, there is an interpretive center, trails with interpretive signs or brochures, and/or regular guided interpretive tours. </v>
      </c>
      <c r="D210" s="400">
        <f>F!D307</f>
        <v>0</v>
      </c>
      <c r="E210" s="97"/>
      <c r="F210" s="1866"/>
      <c r="G210" s="262"/>
      <c r="H210" s="2657"/>
      <c r="I210" s="290"/>
      <c r="J210" s="2"/>
    </row>
    <row r="211" spans="1:10" ht="13.5" thickBot="1" x14ac:dyDescent="0.25">
      <c r="A211" s="10"/>
      <c r="B211" s="2"/>
      <c r="C211" s="2"/>
      <c r="D211" s="57"/>
      <c r="E211" s="57"/>
      <c r="F211" s="57"/>
      <c r="G211" s="57"/>
      <c r="H211" s="57"/>
      <c r="I211" s="10"/>
      <c r="J211" s="2"/>
    </row>
    <row r="212" spans="1:10" ht="114.75" x14ac:dyDescent="0.2">
      <c r="A212" s="10"/>
      <c r="B212" s="2"/>
      <c r="C212" s="2398" t="s">
        <v>1053</v>
      </c>
      <c r="D212" s="2651" t="s">
        <v>1834</v>
      </c>
      <c r="E212" s="2652"/>
      <c r="F212" s="2652"/>
      <c r="G212" s="704">
        <f>(MAX(AVERAGE(HerbCov14,Interspers14,EmRobust14),AVERAGE(WoodyHtDiv14,ShrubDiv14, TreeTypes14)) + AVERAGE(WoodPatt14, Vwidth14,UpEdge14,Inclus14, Gcover14, Cliffs14, SnagsD14)) /2</f>
        <v>0</v>
      </c>
      <c r="H212" s="693" t="s">
        <v>2344</v>
      </c>
      <c r="I212" s="386" t="s">
        <v>2345</v>
      </c>
      <c r="J212" s="499" t="s">
        <v>2346</v>
      </c>
    </row>
    <row r="213" spans="1:10" ht="24.75" customHeight="1" x14ac:dyDescent="0.2">
      <c r="A213" s="10"/>
      <c r="B213" s="2"/>
      <c r="C213" s="2399"/>
      <c r="D213" s="2653" t="s">
        <v>1923</v>
      </c>
      <c r="E213" s="2654"/>
      <c r="F213" s="2654"/>
      <c r="G213" s="705" t="e">
        <f>AVERAGE(PHscore14,APPscore14)</f>
        <v>#VALUE!</v>
      </c>
      <c r="H213" s="256" t="s">
        <v>8665</v>
      </c>
      <c r="I213" s="266" t="s">
        <v>2347</v>
      </c>
      <c r="J213" s="295" t="s">
        <v>8664</v>
      </c>
    </row>
    <row r="214" spans="1:10" ht="38.25" x14ac:dyDescent="0.2">
      <c r="A214" s="10"/>
      <c r="B214" s="2"/>
      <c r="C214" s="2399"/>
      <c r="D214" s="2653" t="s">
        <v>1838</v>
      </c>
      <c r="E214" s="2654"/>
      <c r="F214" s="2654"/>
      <c r="G214" s="705">
        <f>AVERAGE(WetTypeDiv14,BuffPerim14,NatVegProx14, NatVegPctScape14, NatVegSize14)</f>
        <v>0</v>
      </c>
      <c r="H214" s="256" t="s">
        <v>2348</v>
      </c>
      <c r="I214" s="266" t="s">
        <v>2349</v>
      </c>
      <c r="J214" s="498" t="s">
        <v>2350</v>
      </c>
    </row>
    <row r="215" spans="1:10" ht="25.5" x14ac:dyDescent="0.2">
      <c r="A215" s="10"/>
      <c r="B215" s="2"/>
      <c r="C215" s="2399"/>
      <c r="D215" s="2647" t="s">
        <v>2027</v>
      </c>
      <c r="E215" s="2648"/>
      <c r="F215" s="2648"/>
      <c r="G215" s="706">
        <f>AVERAGE(SizeHerbac14,SatPct14, PermWpct14, PondProx14, Beaver14, Interspers14)</f>
        <v>0</v>
      </c>
      <c r="H215" s="256" t="s">
        <v>2351</v>
      </c>
      <c r="I215" s="266" t="s">
        <v>2352</v>
      </c>
      <c r="J215" s="295" t="s">
        <v>2353</v>
      </c>
    </row>
    <row r="216" spans="1:10" ht="26.25" thickBot="1" x14ac:dyDescent="0.25">
      <c r="A216" s="10"/>
      <c r="B216" s="2"/>
      <c r="C216" s="2400"/>
      <c r="D216" s="2649" t="s">
        <v>2354</v>
      </c>
      <c r="E216" s="2650"/>
      <c r="F216" s="2650"/>
      <c r="G216" s="675">
        <f>AVERAGE(Core14a, Core14b, PopCtr14, RdBox14, DisRd14, NoiseLight14)</f>
        <v>0.16666666666666666</v>
      </c>
      <c r="H216" s="263" t="s">
        <v>8976</v>
      </c>
      <c r="I216" s="387" t="s">
        <v>2355</v>
      </c>
      <c r="J216" s="497" t="s">
        <v>8977</v>
      </c>
    </row>
    <row r="217" spans="1:10" ht="39" thickBot="1" x14ac:dyDescent="0.25">
      <c r="A217" s="2315"/>
      <c r="B217" s="2316"/>
      <c r="C217" s="2644" t="s">
        <v>2356</v>
      </c>
      <c r="D217" s="2645"/>
      <c r="E217" s="2646"/>
      <c r="F217" s="351" t="s">
        <v>988</v>
      </c>
      <c r="G217" s="1421" t="e">
        <f>IF((AllWater=1),0,10*(AVERAGE(PermWpct14, AVERAGE(Struc14,Produc14,Lscape14,Wscape14,Stress14))))</f>
        <v>#VALUE!</v>
      </c>
      <c r="H217" s="2288" t="s">
        <v>8595</v>
      </c>
      <c r="I217" s="2289"/>
      <c r="J217" s="297" t="s">
        <v>2357</v>
      </c>
    </row>
    <row r="218" spans="1:10" ht="51.75" thickBot="1" x14ac:dyDescent="0.25">
      <c r="A218" s="2315"/>
      <c r="B218" s="2316"/>
      <c r="C218" s="2644" t="s">
        <v>2358</v>
      </c>
      <c r="D218" s="2645"/>
      <c r="E218" s="2646"/>
      <c r="F218" s="351" t="s">
        <v>991</v>
      </c>
      <c r="G218" s="1367">
        <f>10*(IF((Rare14=1),1, IF((_IBA14=1),1, AVERAGE(MAX(HerbUniq14,WoodyUniq14),AVERAGE(Recrea14v,Wet1k14v,NatVegSize14v,NatVegProx14v,DistPond14, Veg5k14v)))))</f>
        <v>0</v>
      </c>
      <c r="H218" s="2288" t="s">
        <v>8577</v>
      </c>
      <c r="I218" s="228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I96:I99"/>
    <mergeCell ref="I52:I57"/>
    <mergeCell ref="I59:I63"/>
    <mergeCell ref="B52:B57"/>
    <mergeCell ref="A52:A57"/>
    <mergeCell ref="H59:H63"/>
    <mergeCell ref="B59:B63"/>
    <mergeCell ref="A59:A63"/>
    <mergeCell ref="I65:I68"/>
    <mergeCell ref="A65:A68"/>
    <mergeCell ref="B65:B68"/>
    <mergeCell ref="H65:H68"/>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9:H77"/>
    <mergeCell ref="B69:B77"/>
    <mergeCell ref="H32:H37"/>
    <mergeCell ref="H38:H44"/>
    <mergeCell ref="B18:B25"/>
    <mergeCell ref="H46:H51"/>
    <mergeCell ref="H52:H57"/>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658" t="s">
        <v>2426</v>
      </c>
      <c r="B1" s="2659"/>
      <c r="C1" s="40" t="s">
        <v>2427</v>
      </c>
      <c r="D1" s="55" t="s">
        <v>2428</v>
      </c>
      <c r="E1" s="2667"/>
      <c r="F1" s="2668"/>
      <c r="G1" s="2668"/>
      <c r="H1" s="2668"/>
      <c r="I1" s="2668"/>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675" t="str">
        <f>OF!A18</f>
        <v>OF3</v>
      </c>
      <c r="B3" s="2670"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v>
      </c>
      <c r="H3" s="2431" t="s">
        <v>2431</v>
      </c>
      <c r="I3" s="2687" t="s">
        <v>2432</v>
      </c>
    </row>
    <row r="4" spans="1:9" ht="12.75" x14ac:dyDescent="0.2">
      <c r="A4" s="2676"/>
      <c r="B4" s="2664"/>
      <c r="C4" s="1468" t="str">
        <f>OF!C19</f>
        <v>&lt;0.01 hectare (about 10 m x 10 m).</v>
      </c>
      <c r="D4" s="1940">
        <f>OF!D19</f>
        <v>0</v>
      </c>
      <c r="E4" s="494">
        <v>0</v>
      </c>
      <c r="F4" s="619">
        <f>D4*E4</f>
        <v>0</v>
      </c>
      <c r="G4" s="835"/>
      <c r="H4" s="2432"/>
      <c r="I4" s="2689"/>
    </row>
    <row r="5" spans="1:9" ht="12.75" x14ac:dyDescent="0.2">
      <c r="A5" s="2676"/>
      <c r="B5" s="2664"/>
      <c r="C5" s="906" t="str">
        <f>OF!C20</f>
        <v>0.01 - 0.1 hectare.</v>
      </c>
      <c r="D5" s="1940">
        <f>OF!D20</f>
        <v>0</v>
      </c>
      <c r="E5" s="494">
        <v>2</v>
      </c>
      <c r="F5" s="619">
        <f t="shared" ref="F5:F9" si="0">D5*E5</f>
        <v>0</v>
      </c>
      <c r="G5" s="835"/>
      <c r="H5" s="2432"/>
      <c r="I5" s="2689"/>
    </row>
    <row r="6" spans="1:9" ht="12.75" x14ac:dyDescent="0.2">
      <c r="A6" s="2676"/>
      <c r="B6" s="2664"/>
      <c r="C6" s="906" t="str">
        <f>OF!C21</f>
        <v>0.1 - 1 hectare.</v>
      </c>
      <c r="D6" s="1940">
        <f>OF!D21</f>
        <v>0</v>
      </c>
      <c r="E6" s="494">
        <v>2</v>
      </c>
      <c r="F6" s="619">
        <f t="shared" si="0"/>
        <v>0</v>
      </c>
      <c r="G6" s="835"/>
      <c r="H6" s="2432"/>
      <c r="I6" s="2689"/>
    </row>
    <row r="7" spans="1:9" ht="12.75" x14ac:dyDescent="0.2">
      <c r="A7" s="2676"/>
      <c r="B7" s="2664"/>
      <c r="C7" s="906" t="str">
        <f>OF!C22</f>
        <v>1 to 10 hectares.</v>
      </c>
      <c r="D7" s="1940">
        <f>OF!D22</f>
        <v>0</v>
      </c>
      <c r="E7" s="494">
        <v>4</v>
      </c>
      <c r="F7" s="619">
        <f t="shared" si="0"/>
        <v>0</v>
      </c>
      <c r="G7" s="835"/>
      <c r="H7" s="2432"/>
      <c r="I7" s="2689"/>
    </row>
    <row r="8" spans="1:9" ht="12.75" x14ac:dyDescent="0.2">
      <c r="A8" s="2676"/>
      <c r="B8" s="2664"/>
      <c r="C8" s="906" t="str">
        <f>OF!C23</f>
        <v>10 to 100 hectares.</v>
      </c>
      <c r="D8" s="1940">
        <f>OF!D23</f>
        <v>0</v>
      </c>
      <c r="E8" s="494">
        <v>5</v>
      </c>
      <c r="F8" s="619">
        <f t="shared" si="0"/>
        <v>0</v>
      </c>
      <c r="G8" s="835"/>
      <c r="H8" s="2432"/>
      <c r="I8" s="2689"/>
    </row>
    <row r="9" spans="1:9" thickBot="1" x14ac:dyDescent="0.25">
      <c r="A9" s="2677"/>
      <c r="B9" s="2671"/>
      <c r="C9" s="1469" t="str">
        <f>OF!C24</f>
        <v>&gt;100 hectares.</v>
      </c>
      <c r="D9" s="1943">
        <f>OF!D24</f>
        <v>0</v>
      </c>
      <c r="E9" s="1480">
        <v>7</v>
      </c>
      <c r="F9" s="509">
        <f t="shared" si="0"/>
        <v>0</v>
      </c>
      <c r="G9" s="838"/>
      <c r="H9" s="2433"/>
      <c r="I9" s="2689"/>
    </row>
    <row r="10" spans="1:9" ht="39" thickBot="1" x14ac:dyDescent="0.25">
      <c r="A10" s="2666" t="str">
        <f>OF!A33</f>
        <v>OF5</v>
      </c>
      <c r="B10" s="2663"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v>
      </c>
      <c r="H10" s="2432" t="s">
        <v>2433</v>
      </c>
      <c r="I10" s="2687" t="s">
        <v>2434</v>
      </c>
    </row>
    <row r="11" spans="1:9" ht="51" x14ac:dyDescent="0.2">
      <c r="A11" s="2666"/>
      <c r="B11" s="2664"/>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32"/>
      <c r="I11" s="2689"/>
    </row>
    <row r="12" spans="1:9" ht="25.5" x14ac:dyDescent="0.2">
      <c r="A12" s="2666"/>
      <c r="B12" s="2664"/>
      <c r="C12" s="906" t="str">
        <f>OF!C35</f>
        <v>&lt;50 m, but completely separated from the 375-ha vegetated area by those features, and AA does not contain &gt;375 ha of vegetation.</v>
      </c>
      <c r="D12" s="1940">
        <f>OF!D35</f>
        <v>0</v>
      </c>
      <c r="E12" s="76">
        <v>6</v>
      </c>
      <c r="F12" s="619">
        <f t="shared" si="1"/>
        <v>0</v>
      </c>
      <c r="G12" s="835"/>
      <c r="H12" s="2432"/>
      <c r="I12" s="2689"/>
    </row>
    <row r="13" spans="1:9" ht="12.75" x14ac:dyDescent="0.2">
      <c r="A13" s="2666"/>
      <c r="B13" s="2664"/>
      <c r="C13" s="906" t="str">
        <f>OF!C36</f>
        <v>50-500 m, and not separated.</v>
      </c>
      <c r="D13" s="1940">
        <f>OF!D36</f>
        <v>0</v>
      </c>
      <c r="E13" s="76">
        <v>5</v>
      </c>
      <c r="F13" s="619">
        <f t="shared" si="1"/>
        <v>0</v>
      </c>
      <c r="G13" s="835"/>
      <c r="H13" s="2432"/>
      <c r="I13" s="2689"/>
    </row>
    <row r="14" spans="1:9" ht="12.75" x14ac:dyDescent="0.2">
      <c r="A14" s="2666"/>
      <c r="B14" s="2664"/>
      <c r="C14" s="906" t="str">
        <f>OF!C37</f>
        <v>50-500 m, but separated by those features.</v>
      </c>
      <c r="D14" s="1940">
        <f>OF!D37</f>
        <v>0</v>
      </c>
      <c r="E14" s="76">
        <v>4</v>
      </c>
      <c r="F14" s="619">
        <f t="shared" si="1"/>
        <v>0</v>
      </c>
      <c r="G14" s="835"/>
      <c r="H14" s="2432"/>
      <c r="I14" s="2689"/>
    </row>
    <row r="15" spans="1:9" ht="12.75" x14ac:dyDescent="0.2">
      <c r="A15" s="2666"/>
      <c r="B15" s="2664"/>
      <c r="C15" s="906" t="str">
        <f>OF!C38</f>
        <v>0.5 - 5 km, and not separated.</v>
      </c>
      <c r="D15" s="1940">
        <f>OF!D38</f>
        <v>0</v>
      </c>
      <c r="E15" s="76">
        <v>3</v>
      </c>
      <c r="F15" s="619">
        <f t="shared" si="1"/>
        <v>0</v>
      </c>
      <c r="G15" s="835"/>
      <c r="H15" s="2432"/>
      <c r="I15" s="2689"/>
    </row>
    <row r="16" spans="1:9" ht="12.75" x14ac:dyDescent="0.2">
      <c r="A16" s="2666"/>
      <c r="B16" s="2664"/>
      <c r="C16" s="906" t="str">
        <f>OF!C39</f>
        <v>0.5 - 5 km, but separated by those features.</v>
      </c>
      <c r="D16" s="1940">
        <f>OF!D39</f>
        <v>0</v>
      </c>
      <c r="E16" s="76">
        <v>2</v>
      </c>
      <c r="F16" s="619">
        <f t="shared" si="1"/>
        <v>0</v>
      </c>
      <c r="G16" s="835"/>
      <c r="H16" s="2432"/>
      <c r="I16" s="2689"/>
    </row>
    <row r="17" spans="1:9" ht="26.25" thickBot="1" x14ac:dyDescent="0.25">
      <c r="A17" s="2666"/>
      <c r="B17" s="2665"/>
      <c r="C17" s="907" t="str">
        <f>OF!C40</f>
        <v>None of the above (the closest patches or corridors which are that large are &gt;5 km away).</v>
      </c>
      <c r="D17" s="1941">
        <f>OF!D40</f>
        <v>0</v>
      </c>
      <c r="E17" s="79">
        <v>0</v>
      </c>
      <c r="F17" s="621">
        <f t="shared" si="1"/>
        <v>0</v>
      </c>
      <c r="G17" s="837"/>
      <c r="H17" s="2432"/>
      <c r="I17" s="2690"/>
    </row>
    <row r="18" spans="1:9" ht="51.75" thickBot="1" x14ac:dyDescent="0.25">
      <c r="A18" s="1544" t="str">
        <f>OF!A46</f>
        <v>OF8</v>
      </c>
      <c r="B18" s="2672"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v>
      </c>
      <c r="H18" s="2431" t="s">
        <v>2435</v>
      </c>
      <c r="I18" s="2710" t="s">
        <v>2436</v>
      </c>
    </row>
    <row r="19" spans="1:9" ht="12.75" x14ac:dyDescent="0.2">
      <c r="A19" s="1545"/>
      <c r="B19" s="2673"/>
      <c r="C19" s="830" t="str">
        <f>OF!C47</f>
        <v xml:space="preserve">&lt;5% of the land. </v>
      </c>
      <c r="D19" s="1940">
        <f>OF!D47</f>
        <v>0</v>
      </c>
      <c r="E19" s="619">
        <v>0</v>
      </c>
      <c r="F19" s="619">
        <f t="shared" ref="F19:F23" si="2">D19*E19</f>
        <v>0</v>
      </c>
      <c r="G19" s="835"/>
      <c r="H19" s="2432"/>
      <c r="I19" s="2711"/>
    </row>
    <row r="20" spans="1:9" ht="12.75" x14ac:dyDescent="0.2">
      <c r="A20" s="1545"/>
      <c r="B20" s="2673"/>
      <c r="C20" s="831" t="str">
        <f>OF!C48</f>
        <v>5 to 20% of the land.</v>
      </c>
      <c r="D20" s="1940">
        <f>OF!D48</f>
        <v>0</v>
      </c>
      <c r="E20" s="619">
        <v>2</v>
      </c>
      <c r="F20" s="619">
        <f t="shared" si="2"/>
        <v>0</v>
      </c>
      <c r="G20" s="835"/>
      <c r="H20" s="2432"/>
      <c r="I20" s="2711"/>
    </row>
    <row r="21" spans="1:9" ht="12.75" x14ac:dyDescent="0.2">
      <c r="A21" s="1545"/>
      <c r="B21" s="2673"/>
      <c r="C21" s="831" t="str">
        <f>OF!C49</f>
        <v>20 to 60% of the land.</v>
      </c>
      <c r="D21" s="1940">
        <f>OF!D49</f>
        <v>0</v>
      </c>
      <c r="E21" s="619">
        <v>3</v>
      </c>
      <c r="F21" s="619">
        <f t="shared" si="2"/>
        <v>0</v>
      </c>
      <c r="G21" s="835"/>
      <c r="H21" s="2432"/>
      <c r="I21" s="2711"/>
    </row>
    <row r="22" spans="1:9" ht="12.75" x14ac:dyDescent="0.2">
      <c r="A22" s="1545"/>
      <c r="B22" s="2673"/>
      <c r="C22" s="831" t="str">
        <f>OF!C50</f>
        <v>60 to 90% of the land.</v>
      </c>
      <c r="D22" s="1940">
        <f>OF!D50</f>
        <v>0</v>
      </c>
      <c r="E22" s="619">
        <v>4</v>
      </c>
      <c r="F22" s="619">
        <f t="shared" si="2"/>
        <v>0</v>
      </c>
      <c r="G22" s="835"/>
      <c r="H22" s="2432"/>
      <c r="I22" s="2711"/>
    </row>
    <row r="23" spans="1:9" thickBot="1" x14ac:dyDescent="0.25">
      <c r="A23" s="1546"/>
      <c r="B23" s="2674"/>
      <c r="C23" s="832" t="str">
        <f>OF!C51</f>
        <v xml:space="preserve">&gt;90% of the land. </v>
      </c>
      <c r="D23" s="1943">
        <f>OF!D51</f>
        <v>0</v>
      </c>
      <c r="E23" s="509">
        <v>6</v>
      </c>
      <c r="F23" s="509">
        <f t="shared" si="2"/>
        <v>0</v>
      </c>
      <c r="G23" s="838"/>
      <c r="H23" s="2433"/>
      <c r="I23" s="2712"/>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2437</v>
      </c>
      <c r="I24" s="1924" t="s">
        <v>2438</v>
      </c>
    </row>
    <row r="25" spans="1:9" ht="26.25" thickBot="1" x14ac:dyDescent="0.25">
      <c r="A25" s="1544" t="str">
        <f>OF!A74</f>
        <v>OF13</v>
      </c>
      <c r="B25" s="2670" t="str">
        <f>OF!B74</f>
        <v>Distance to Ponded Water [AM, WBF, WBN, RSB, KMH, PH, Sens]</v>
      </c>
      <c r="C25" s="829" t="s">
        <v>2439</v>
      </c>
      <c r="D25" s="1946"/>
      <c r="E25" s="510"/>
      <c r="F25" s="512"/>
      <c r="G25" s="623">
        <f>MAX(F26:F31)/MAX(E26:E31)</f>
        <v>1</v>
      </c>
      <c r="H25" s="2669" t="s">
        <v>2440</v>
      </c>
      <c r="I25" s="2713" t="s">
        <v>2441</v>
      </c>
    </row>
    <row r="26" spans="1:9" ht="12.75" x14ac:dyDescent="0.2">
      <c r="A26" s="1545"/>
      <c r="B26" s="2664"/>
      <c r="C26" s="1468" t="s">
        <v>2442</v>
      </c>
      <c r="D26" s="1940">
        <v>1</v>
      </c>
      <c r="E26" s="619">
        <v>6</v>
      </c>
      <c r="F26" s="619">
        <f t="shared" ref="F26:F31" si="3">D26*E26</f>
        <v>6</v>
      </c>
      <c r="G26" s="841"/>
      <c r="H26" s="2498"/>
      <c r="I26" s="2685"/>
    </row>
    <row r="27" spans="1:9" ht="12.75" x14ac:dyDescent="0.2">
      <c r="A27" s="1545"/>
      <c r="B27" s="2664"/>
      <c r="C27" s="906" t="s">
        <v>2443</v>
      </c>
      <c r="D27" s="1940">
        <v>0</v>
      </c>
      <c r="E27" s="619">
        <v>5</v>
      </c>
      <c r="F27" s="619">
        <f t="shared" si="3"/>
        <v>0</v>
      </c>
      <c r="G27" s="841"/>
      <c r="H27" s="2498"/>
      <c r="I27" s="2685"/>
    </row>
    <row r="28" spans="1:9" ht="12.75" x14ac:dyDescent="0.2">
      <c r="A28" s="1545"/>
      <c r="B28" s="2664"/>
      <c r="C28" s="906" t="s">
        <v>2444</v>
      </c>
      <c r="D28" s="1940">
        <v>0</v>
      </c>
      <c r="E28" s="619">
        <v>4</v>
      </c>
      <c r="F28" s="619">
        <f t="shared" si="3"/>
        <v>0</v>
      </c>
      <c r="G28" s="841"/>
      <c r="H28" s="2498"/>
      <c r="I28" s="2685"/>
    </row>
    <row r="29" spans="1:9" ht="12.75" x14ac:dyDescent="0.2">
      <c r="A29" s="1545"/>
      <c r="B29" s="2664"/>
      <c r="C29" s="906" t="s">
        <v>2445</v>
      </c>
      <c r="D29" s="1940">
        <v>0</v>
      </c>
      <c r="E29" s="619">
        <v>3</v>
      </c>
      <c r="F29" s="619">
        <f t="shared" si="3"/>
        <v>0</v>
      </c>
      <c r="G29" s="841"/>
      <c r="H29" s="2498"/>
      <c r="I29" s="2685"/>
    </row>
    <row r="30" spans="1:9" ht="12.75" x14ac:dyDescent="0.2">
      <c r="A30" s="1545"/>
      <c r="B30" s="2664"/>
      <c r="C30" s="906" t="s">
        <v>2446</v>
      </c>
      <c r="D30" s="1940">
        <v>0</v>
      </c>
      <c r="E30" s="619">
        <v>2</v>
      </c>
      <c r="F30" s="619">
        <f t="shared" si="3"/>
        <v>0</v>
      </c>
      <c r="G30" s="841"/>
      <c r="H30" s="2498"/>
      <c r="I30" s="2685"/>
    </row>
    <row r="31" spans="1:9" thickBot="1" x14ac:dyDescent="0.25">
      <c r="A31" s="1545"/>
      <c r="B31" s="2665"/>
      <c r="C31" s="907" t="s">
        <v>2447</v>
      </c>
      <c r="D31" s="1941">
        <v>0</v>
      </c>
      <c r="E31" s="621">
        <v>0</v>
      </c>
      <c r="F31" s="621">
        <f t="shared" si="3"/>
        <v>0</v>
      </c>
      <c r="G31" s="837"/>
      <c r="H31" s="2498"/>
      <c r="I31" s="2685"/>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2448</v>
      </c>
      <c r="I33" s="1923" t="s">
        <v>2449</v>
      </c>
    </row>
    <row r="34" spans="1:10" ht="26.25" thickBot="1" x14ac:dyDescent="0.25">
      <c r="A34" s="1557" t="str">
        <f>F!A5</f>
        <v>F1</v>
      </c>
      <c r="B34" s="2660" t="str">
        <f>F!B5</f>
        <v>Vegetation, Water, Soil [SFTS, NR, CSP, CC, APP, FA, FR, AM, WBF, WBN, KMH, Sens]</v>
      </c>
      <c r="C34" s="1472" t="str">
        <f>F!C5</f>
        <v>Follow the key below and mark the ONE row that best describes MOST of the vegetated part of the AA:</v>
      </c>
      <c r="D34" s="1945"/>
      <c r="E34" s="715"/>
      <c r="F34" s="605"/>
      <c r="G34" s="623"/>
      <c r="H34" s="2431" t="s">
        <v>2450</v>
      </c>
      <c r="I34" s="1926" t="s">
        <v>2451</v>
      </c>
    </row>
    <row r="35" spans="1:10" ht="63.75" x14ac:dyDescent="0.2">
      <c r="A35" s="1567"/>
      <c r="B35" s="2661"/>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32"/>
      <c r="I35" s="1926"/>
    </row>
    <row r="36" spans="1:10" ht="76.5" x14ac:dyDescent="0.2">
      <c r="A36" s="1567"/>
      <c r="B36" s="2661"/>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432"/>
      <c r="I36" s="1926" t="s">
        <v>2452</v>
      </c>
    </row>
    <row r="37" spans="1:10" ht="51" x14ac:dyDescent="0.2">
      <c r="A37" s="1567"/>
      <c r="B37" s="2661"/>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32"/>
      <c r="I37" s="1926" t="s">
        <v>2453</v>
      </c>
    </row>
    <row r="38" spans="1:10" ht="38.25" x14ac:dyDescent="0.2">
      <c r="A38" s="1567"/>
      <c r="B38" s="2661"/>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32"/>
      <c r="I38" s="1926"/>
    </row>
    <row r="39" spans="1:10" ht="38.25" x14ac:dyDescent="0.2">
      <c r="A39" s="1567"/>
      <c r="B39" s="2661"/>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432"/>
      <c r="I39" s="1926" t="s">
        <v>2454</v>
      </c>
    </row>
    <row r="40" spans="1:10" ht="51.75" thickBot="1" x14ac:dyDescent="0.25">
      <c r="A40" s="1568"/>
      <c r="B40" s="2662"/>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33"/>
      <c r="I40" s="1928" t="s">
        <v>2455</v>
      </c>
    </row>
    <row r="41" spans="1:10" ht="51.75" thickBot="1" x14ac:dyDescent="0.25">
      <c r="A41" s="939" t="str">
        <f>F!A19</f>
        <v>F3</v>
      </c>
      <c r="B41" s="2699"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v>
      </c>
      <c r="H41" s="2432" t="s">
        <v>2456</v>
      </c>
      <c r="I41" s="1926" t="s">
        <v>2457</v>
      </c>
    </row>
    <row r="42" spans="1:10" x14ac:dyDescent="0.2">
      <c r="A42" s="939"/>
      <c r="B42" s="2661"/>
      <c r="C42" s="1322" t="str">
        <f>F!C20</f>
        <v>evergreen trees (may include tamarack) taller than 6 m.</v>
      </c>
      <c r="D42" s="1948">
        <f>F!D20</f>
        <v>0</v>
      </c>
      <c r="E42" s="607"/>
      <c r="F42" s="619"/>
      <c r="G42" s="843"/>
      <c r="H42" s="2432"/>
      <c r="I42" s="1926"/>
      <c r="J42" s="567"/>
    </row>
    <row r="43" spans="1:10" x14ac:dyDescent="0.2">
      <c r="A43" s="939"/>
      <c r="B43" s="2661"/>
      <c r="C43" s="1321" t="str">
        <f>F!C21</f>
        <v>deciduous trees taller than 6 m.</v>
      </c>
      <c r="D43" s="1948">
        <f>F!D21</f>
        <v>0</v>
      </c>
      <c r="E43" s="607"/>
      <c r="F43" s="619"/>
      <c r="G43" s="845"/>
      <c r="H43" s="2432"/>
      <c r="I43" s="1926"/>
      <c r="J43" s="567"/>
    </row>
    <row r="44" spans="1:10" x14ac:dyDescent="0.2">
      <c r="A44" s="939"/>
      <c r="B44" s="2661"/>
      <c r="C44" s="1321" t="str">
        <f>F!C22</f>
        <v>evergreen shrubs or trees 2 to 6 m tall not directly below the canopy of trees.</v>
      </c>
      <c r="D44" s="1948">
        <f>F!D22</f>
        <v>0</v>
      </c>
      <c r="E44" s="607"/>
      <c r="F44" s="619"/>
      <c r="G44" s="845"/>
      <c r="H44" s="2432"/>
      <c r="I44" s="1926"/>
      <c r="J44" s="567"/>
    </row>
    <row r="45" spans="1:10" x14ac:dyDescent="0.2">
      <c r="A45" s="939"/>
      <c r="B45" s="2661"/>
      <c r="C45" s="1321" t="str">
        <f>F!C23</f>
        <v>deciduous shrubs or trees 2 to 6 m tall not directly below the canopy of trees.</v>
      </c>
      <c r="D45" s="1948">
        <f>F!D23</f>
        <v>0</v>
      </c>
      <c r="E45" s="607"/>
      <c r="F45" s="619"/>
      <c r="G45" s="845"/>
      <c r="H45" s="2432"/>
      <c r="I45" s="1926"/>
    </row>
    <row r="46" spans="1:10" x14ac:dyDescent="0.2">
      <c r="A46" s="939"/>
      <c r="B46" s="2661"/>
      <c r="C46" s="1321" t="str">
        <f>F!C24</f>
        <v>evergreen vegetation 0.5 to 2 m tall not directly below the canopy of taller vegetation.</v>
      </c>
      <c r="D46" s="1948">
        <f>F!D24</f>
        <v>0</v>
      </c>
      <c r="E46" s="607"/>
      <c r="F46" s="619"/>
      <c r="G46" s="845"/>
      <c r="H46" s="2432"/>
      <c r="I46" s="1926"/>
    </row>
    <row r="47" spans="1:10" ht="25.5" x14ac:dyDescent="0.2">
      <c r="A47" s="939"/>
      <c r="B47" s="2661"/>
      <c r="C47" s="1321" t="str">
        <f>F!C25</f>
        <v>deciduous vegetation 0.5 to 2 m tall (e.g., deciduous seedlings) not directly below the canopy of taller vegetation.</v>
      </c>
      <c r="D47" s="1948">
        <f>F!D25</f>
        <v>0</v>
      </c>
      <c r="E47" s="608"/>
      <c r="F47" s="619"/>
      <c r="G47" s="848"/>
      <c r="H47" s="2432"/>
      <c r="I47" s="1926"/>
    </row>
    <row r="48" spans="1:10" ht="14.25" thickBot="1" x14ac:dyDescent="0.25">
      <c r="A48" s="939"/>
      <c r="B48" s="2700"/>
      <c r="C48" s="1331" t="str">
        <f>F!C26</f>
        <v>Non-woody vegetation (except mosses) not under a tree or shrub canopy.</v>
      </c>
      <c r="D48" s="1950">
        <f>F!D26</f>
        <v>0</v>
      </c>
      <c r="E48" s="608"/>
      <c r="F48" s="621"/>
      <c r="G48" s="848"/>
      <c r="H48" s="2432"/>
      <c r="I48" s="1926" t="s">
        <v>2458</v>
      </c>
    </row>
    <row r="49" spans="1:9" thickBot="1" x14ac:dyDescent="0.25">
      <c r="A49" s="1569" t="str">
        <f>F!A42</f>
        <v>F6</v>
      </c>
      <c r="B49" s="2670" t="str">
        <f>F!B42</f>
        <v>Height Class Interspersion [NR, AM, RSB, KMH, PH, Sens]</v>
      </c>
      <c r="C49" s="829" t="str">
        <f>F!C42</f>
        <v>Follow the key below and mark the ONE row that best describes MOST of the AA:</v>
      </c>
      <c r="D49" s="1945"/>
      <c r="E49" s="510"/>
      <c r="F49" s="510"/>
      <c r="G49" s="623">
        <f>MAX(F50:F55)/MAX(E50:E55)</f>
        <v>0</v>
      </c>
      <c r="H49" s="2431" t="s">
        <v>8950</v>
      </c>
      <c r="I49" s="2687" t="s">
        <v>2459</v>
      </c>
    </row>
    <row r="50" spans="1:9" ht="51" x14ac:dyDescent="0.2">
      <c r="A50" s="1570"/>
      <c r="B50" s="2664"/>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32"/>
      <c r="I50" s="2689"/>
    </row>
    <row r="51" spans="1:9" ht="12.75" x14ac:dyDescent="0.2">
      <c r="A51" s="1570"/>
      <c r="B51" s="2664"/>
      <c r="C51" s="906" t="str">
        <f>F!C44</f>
        <v>A1. The two height classes are mostly scattered and intermixed throughout the AA.</v>
      </c>
      <c r="D51" s="1940">
        <f>F!D44</f>
        <v>0</v>
      </c>
      <c r="E51" s="619">
        <v>1</v>
      </c>
      <c r="F51" s="619">
        <f t="shared" ref="F51:F60" si="4">D51*E51</f>
        <v>0</v>
      </c>
      <c r="G51" s="835"/>
      <c r="H51" s="2432"/>
      <c r="I51" s="2689"/>
    </row>
    <row r="52" spans="1:9" ht="25.5" x14ac:dyDescent="0.2">
      <c r="A52" s="1570"/>
      <c r="B52" s="2664"/>
      <c r="C52" s="906" t="str">
        <f>F!C45</f>
        <v>A2. Not A1.  The two height classes are mostly in separate zones or bands, or in proportionately large clumps.</v>
      </c>
      <c r="D52" s="1940">
        <f>F!D45</f>
        <v>0</v>
      </c>
      <c r="E52" s="619">
        <v>0</v>
      </c>
      <c r="F52" s="619">
        <f t="shared" si="4"/>
        <v>0</v>
      </c>
      <c r="G52" s="835"/>
      <c r="H52" s="2432"/>
      <c r="I52" s="2689"/>
    </row>
    <row r="53" spans="1:9" ht="38.25" x14ac:dyDescent="0.2">
      <c r="A53" s="1570"/>
      <c r="B53" s="2664"/>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32"/>
      <c r="I53" s="2689"/>
    </row>
    <row r="54" spans="1:9" ht="25.5" x14ac:dyDescent="0.2">
      <c r="A54" s="1570"/>
      <c r="B54" s="2664"/>
      <c r="C54" s="906" t="str">
        <f>F!C47</f>
        <v>B1. The less prevalent height class is mostly scattered and intermixed within the prevalent one.</v>
      </c>
      <c r="D54" s="1940">
        <f>F!D47</f>
        <v>0</v>
      </c>
      <c r="E54" s="619">
        <v>3</v>
      </c>
      <c r="F54" s="619">
        <f t="shared" si="4"/>
        <v>0</v>
      </c>
      <c r="G54" s="835"/>
      <c r="H54" s="2432"/>
      <c r="I54" s="2689"/>
    </row>
    <row r="55" spans="1:9" ht="26.25" thickBot="1" x14ac:dyDescent="0.25">
      <c r="A55" s="1571"/>
      <c r="B55" s="2671"/>
      <c r="C55" s="1469" t="str">
        <f>F!C48</f>
        <v>B2. Not B1.  The less prevalent height class is mostly located apart from the prevalent one, in separate zones or clumps, or is completely absent.</v>
      </c>
      <c r="D55" s="1943">
        <f>F!D48</f>
        <v>0</v>
      </c>
      <c r="E55" s="509">
        <v>2</v>
      </c>
      <c r="F55" s="509">
        <f t="shared" si="4"/>
        <v>0</v>
      </c>
      <c r="G55" s="838"/>
      <c r="H55" s="2433"/>
      <c r="I55" s="2690"/>
    </row>
    <row r="56" spans="1:9" ht="26.25" thickBot="1" x14ac:dyDescent="0.25">
      <c r="A56" s="1570" t="str">
        <f>F!A63</f>
        <v>F9</v>
      </c>
      <c r="B56" s="2663"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v>
      </c>
      <c r="H56" s="2432" t="s">
        <v>8671</v>
      </c>
      <c r="I56" s="2687" t="s">
        <v>2460</v>
      </c>
    </row>
    <row r="57" spans="1:9" ht="12.75" x14ac:dyDescent="0.2">
      <c r="A57" s="939"/>
      <c r="B57" s="2664"/>
      <c r="C57" s="1468" t="str">
        <f>F!C64</f>
        <v>&lt;1% of the herbaceous vegetation, or herbaceous vegetation is absent.</v>
      </c>
      <c r="D57" s="1939">
        <f>F!D64</f>
        <v>0</v>
      </c>
      <c r="E57" s="493">
        <v>0</v>
      </c>
      <c r="F57" s="619">
        <f t="shared" si="4"/>
        <v>0</v>
      </c>
      <c r="G57" s="835"/>
      <c r="H57" s="2432"/>
      <c r="I57" s="2689"/>
    </row>
    <row r="58" spans="1:9" ht="12.75" x14ac:dyDescent="0.2">
      <c r="A58" s="939"/>
      <c r="B58" s="2664"/>
      <c r="C58" s="906" t="str">
        <f>F!C65</f>
        <v>1-25% of the herbaceous vegetation.</v>
      </c>
      <c r="D58" s="1940">
        <f>F!D65</f>
        <v>0</v>
      </c>
      <c r="E58" s="493">
        <v>3</v>
      </c>
      <c r="F58" s="619">
        <f t="shared" si="4"/>
        <v>0</v>
      </c>
      <c r="G58" s="835"/>
      <c r="H58" s="2432"/>
      <c r="I58" s="2689"/>
    </row>
    <row r="59" spans="1:9" ht="12.75" x14ac:dyDescent="0.2">
      <c r="A59" s="939"/>
      <c r="B59" s="2664"/>
      <c r="C59" s="906" t="str">
        <f>F!C66</f>
        <v>25-75% of the herbaceous vegetation.</v>
      </c>
      <c r="D59" s="1940">
        <f>F!D66</f>
        <v>0</v>
      </c>
      <c r="E59" s="493">
        <v>4</v>
      </c>
      <c r="F59" s="619">
        <f t="shared" si="4"/>
        <v>0</v>
      </c>
      <c r="G59" s="835"/>
      <c r="H59" s="2432"/>
      <c r="I59" s="2689"/>
    </row>
    <row r="60" spans="1:9" thickBot="1" x14ac:dyDescent="0.25">
      <c r="A60" s="939"/>
      <c r="B60" s="2665"/>
      <c r="C60" s="907" t="str">
        <f>F!C67</f>
        <v>&gt;75%, of the herbaceous vegetation.</v>
      </c>
      <c r="D60" s="1941">
        <f>F!D67</f>
        <v>0</v>
      </c>
      <c r="E60" s="514">
        <v>5</v>
      </c>
      <c r="F60" s="621">
        <f t="shared" si="4"/>
        <v>0</v>
      </c>
      <c r="G60" s="837"/>
      <c r="H60" s="2432"/>
      <c r="I60" s="2689"/>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8674</v>
      </c>
      <c r="I61" s="1929" t="s">
        <v>2461</v>
      </c>
    </row>
    <row r="62" spans="1:9" ht="58.5" customHeight="1" thickBot="1" x14ac:dyDescent="0.25">
      <c r="A62" s="2714" t="str">
        <f>F!A142</f>
        <v>F23</v>
      </c>
      <c r="B62" s="270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v>
      </c>
      <c r="H62" s="2498" t="s">
        <v>8673</v>
      </c>
      <c r="I62" s="2685" t="s">
        <v>2462</v>
      </c>
    </row>
    <row r="63" spans="1:9" ht="15.75" customHeight="1" x14ac:dyDescent="0.2">
      <c r="A63" s="2714"/>
      <c r="B63" s="2673"/>
      <c r="C63" s="906" t="str">
        <f>F!C143</f>
        <v>None or trace.</v>
      </c>
      <c r="D63" s="1940">
        <f>F!D143</f>
        <v>0</v>
      </c>
      <c r="E63" s="619">
        <v>0</v>
      </c>
      <c r="F63" s="619">
        <f t="shared" ref="F63:F67" si="5">D63*E63</f>
        <v>0</v>
      </c>
      <c r="G63" s="835"/>
      <c r="H63" s="2498"/>
      <c r="I63" s="2685"/>
    </row>
    <row r="64" spans="1:9" ht="12.75" x14ac:dyDescent="0.2">
      <c r="A64" s="2714"/>
      <c r="B64" s="2673"/>
      <c r="C64" s="906" t="str">
        <f>F!C144</f>
        <v>1-20% of the AA.</v>
      </c>
      <c r="D64" s="1940">
        <f>F!D144</f>
        <v>0</v>
      </c>
      <c r="E64" s="619">
        <v>0</v>
      </c>
      <c r="F64" s="619">
        <f t="shared" si="5"/>
        <v>0</v>
      </c>
      <c r="G64" s="835"/>
      <c r="H64" s="2498"/>
      <c r="I64" s="2685"/>
    </row>
    <row r="65" spans="1:9" ht="12.75" x14ac:dyDescent="0.2">
      <c r="A65" s="2714"/>
      <c r="B65" s="2673"/>
      <c r="C65" s="906" t="str">
        <f>F!C145</f>
        <v>20-50% of the AA.</v>
      </c>
      <c r="D65" s="1940">
        <f>F!D145</f>
        <v>0</v>
      </c>
      <c r="E65" s="619">
        <v>1</v>
      </c>
      <c r="F65" s="619">
        <f t="shared" si="5"/>
        <v>0</v>
      </c>
      <c r="G65" s="835"/>
      <c r="H65" s="2498"/>
      <c r="I65" s="2685"/>
    </row>
    <row r="66" spans="1:9" ht="12.75" x14ac:dyDescent="0.2">
      <c r="A66" s="2714"/>
      <c r="B66" s="2673"/>
      <c r="C66" s="906" t="str">
        <f>F!C146</f>
        <v>50-95% of the AA.</v>
      </c>
      <c r="D66" s="1940">
        <f>F!D146</f>
        <v>0</v>
      </c>
      <c r="E66" s="619">
        <v>3</v>
      </c>
      <c r="F66" s="619">
        <f t="shared" si="5"/>
        <v>0</v>
      </c>
      <c r="G66" s="835"/>
      <c r="H66" s="2498"/>
      <c r="I66" s="2685"/>
    </row>
    <row r="67" spans="1:9" ht="13.5" customHeight="1" thickBot="1" x14ac:dyDescent="0.25">
      <c r="A67" s="2714"/>
      <c r="B67" s="2702"/>
      <c r="C67" s="907" t="str">
        <f>F!C147</f>
        <v>&gt;95% of the AA. True for many fringe wetlands.</v>
      </c>
      <c r="D67" s="1941">
        <f>F!D147</f>
        <v>0</v>
      </c>
      <c r="E67" s="621">
        <v>4</v>
      </c>
      <c r="F67" s="621">
        <f t="shared" si="5"/>
        <v>0</v>
      </c>
      <c r="G67" s="837"/>
      <c r="H67" s="2498"/>
      <c r="I67" s="2685"/>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50" t="str">
        <f>F!A168</f>
        <v>F28</v>
      </c>
      <c r="B69" s="2444"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432" t="s">
        <v>2464</v>
      </c>
      <c r="I69" s="1925" t="s">
        <v>2465</v>
      </c>
    </row>
    <row r="70" spans="1:9" x14ac:dyDescent="0.2">
      <c r="A70" s="2450"/>
      <c r="B70" s="2445"/>
      <c r="C70" s="1321" t="str">
        <f>F!C169</f>
        <v>&lt;10 cm change (stable or nearly so).</v>
      </c>
      <c r="D70" s="1948">
        <f>F!D169</f>
        <v>0</v>
      </c>
      <c r="E70" s="619">
        <v>4</v>
      </c>
      <c r="F70" s="619">
        <f t="shared" ref="F70:F74" si="6">D70*E70</f>
        <v>0</v>
      </c>
      <c r="G70" s="911"/>
      <c r="H70" s="2432"/>
      <c r="I70" s="1926"/>
    </row>
    <row r="71" spans="1:9" x14ac:dyDescent="0.2">
      <c r="A71" s="2450"/>
      <c r="B71" s="2445"/>
      <c r="C71" s="1321" t="str">
        <f>F!C170</f>
        <v>10 cm - 50 cm change.</v>
      </c>
      <c r="D71" s="1948">
        <f>F!D170</f>
        <v>0</v>
      </c>
      <c r="E71" s="619">
        <v>3</v>
      </c>
      <c r="F71" s="619">
        <f t="shared" si="6"/>
        <v>0</v>
      </c>
      <c r="G71" s="912"/>
      <c r="H71" s="2432"/>
      <c r="I71" s="1926"/>
    </row>
    <row r="72" spans="1:9" x14ac:dyDescent="0.2">
      <c r="A72" s="2450"/>
      <c r="B72" s="2445"/>
      <c r="C72" s="1321" t="str">
        <f>F!C171</f>
        <v>0.5 - 1 m change.</v>
      </c>
      <c r="D72" s="1948">
        <f>F!D171</f>
        <v>0</v>
      </c>
      <c r="E72" s="619">
        <v>1</v>
      </c>
      <c r="F72" s="619">
        <f t="shared" si="6"/>
        <v>0</v>
      </c>
      <c r="G72" s="912"/>
      <c r="H72" s="2432"/>
      <c r="I72" s="1926"/>
    </row>
    <row r="73" spans="1:9" x14ac:dyDescent="0.2">
      <c r="A73" s="2450"/>
      <c r="B73" s="2445"/>
      <c r="C73" s="1321" t="str">
        <f>F!C172</f>
        <v>1-2 m change.</v>
      </c>
      <c r="D73" s="1948">
        <f>F!D172</f>
        <v>0</v>
      </c>
      <c r="E73" s="619">
        <v>0</v>
      </c>
      <c r="F73" s="619">
        <f t="shared" si="6"/>
        <v>0</v>
      </c>
      <c r="G73" s="912"/>
      <c r="H73" s="2432"/>
      <c r="I73" s="1926"/>
    </row>
    <row r="74" spans="1:9" ht="14.25" thickBot="1" x14ac:dyDescent="0.25">
      <c r="A74" s="2450"/>
      <c r="B74" s="2446"/>
      <c r="C74" s="1331" t="str">
        <f>F!C173</f>
        <v>&gt;2 m change.</v>
      </c>
      <c r="D74" s="1950">
        <f>F!D173</f>
        <v>0</v>
      </c>
      <c r="E74" s="621">
        <v>0</v>
      </c>
      <c r="F74" s="621">
        <f t="shared" si="6"/>
        <v>0</v>
      </c>
      <c r="G74" s="1483"/>
      <c r="H74" s="2432"/>
      <c r="I74" s="1928"/>
    </row>
    <row r="75" spans="1:9" ht="26.25" thickBot="1" x14ac:dyDescent="0.25">
      <c r="A75" s="1557" t="str">
        <f>F!A175</f>
        <v>F29</v>
      </c>
      <c r="B75" s="2660"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0</v>
      </c>
      <c r="H75" s="2669" t="s">
        <v>2466</v>
      </c>
      <c r="I75" s="2685" t="s">
        <v>2467</v>
      </c>
    </row>
    <row r="76" spans="1:9" ht="12.75" x14ac:dyDescent="0.2">
      <c r="A76" s="939"/>
      <c r="B76" s="2661"/>
      <c r="C76" s="1322" t="str">
        <f>F!C176</f>
        <v>&lt;10 cm deep (but &gt;0).</v>
      </c>
      <c r="D76" s="932">
        <f>F!D176</f>
        <v>0</v>
      </c>
      <c r="E76" s="619">
        <v>0</v>
      </c>
      <c r="F76" s="619">
        <f t="shared" ref="F76:F80" si="7">D76*E76</f>
        <v>0</v>
      </c>
      <c r="G76" s="841"/>
      <c r="H76" s="2498"/>
      <c r="I76" s="2685"/>
    </row>
    <row r="77" spans="1:9" ht="12.75" x14ac:dyDescent="0.2">
      <c r="A77" s="939"/>
      <c r="B77" s="2661"/>
      <c r="C77" s="1321" t="str">
        <f>F!C177</f>
        <v>10 - 50 cm deep.</v>
      </c>
      <c r="D77" s="1948">
        <f>F!D177</f>
        <v>0</v>
      </c>
      <c r="E77" s="619">
        <v>1</v>
      </c>
      <c r="F77" s="619">
        <f t="shared" si="7"/>
        <v>0</v>
      </c>
      <c r="G77" s="835"/>
      <c r="H77" s="2498"/>
      <c r="I77" s="2685"/>
    </row>
    <row r="78" spans="1:9" ht="12.75" x14ac:dyDescent="0.2">
      <c r="A78" s="939"/>
      <c r="B78" s="2661"/>
      <c r="C78" s="1321" t="str">
        <f>F!C178</f>
        <v>0.5 - 1 m deep.</v>
      </c>
      <c r="D78" s="1948">
        <f>F!D178</f>
        <v>0</v>
      </c>
      <c r="E78" s="619">
        <v>2</v>
      </c>
      <c r="F78" s="619">
        <f t="shared" si="7"/>
        <v>0</v>
      </c>
      <c r="G78" s="835"/>
      <c r="H78" s="2498"/>
      <c r="I78" s="2685"/>
    </row>
    <row r="79" spans="1:9" ht="12.75" x14ac:dyDescent="0.2">
      <c r="A79" s="939"/>
      <c r="B79" s="2661"/>
      <c r="C79" s="1321" t="str">
        <f>F!C179</f>
        <v>1 - 2 m deep.</v>
      </c>
      <c r="D79" s="1948">
        <f>F!D179</f>
        <v>0</v>
      </c>
      <c r="E79" s="619">
        <v>5</v>
      </c>
      <c r="F79" s="619">
        <f t="shared" si="7"/>
        <v>0</v>
      </c>
      <c r="G79" s="835"/>
      <c r="H79" s="2498"/>
      <c r="I79" s="2685"/>
    </row>
    <row r="80" spans="1:9" thickBot="1" x14ac:dyDescent="0.25">
      <c r="A80" s="940"/>
      <c r="B80" s="2662"/>
      <c r="C80" s="1330" t="str">
        <f>F!C180</f>
        <v>&gt;2 m deep. True for many fringe wetlands.</v>
      </c>
      <c r="D80" s="1949">
        <f>F!D180</f>
        <v>0</v>
      </c>
      <c r="E80" s="509">
        <v>4</v>
      </c>
      <c r="F80" s="509">
        <f t="shared" si="7"/>
        <v>0</v>
      </c>
      <c r="G80" s="838"/>
      <c r="H80" s="2683"/>
      <c r="I80" s="2686"/>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717" t="str">
        <f>F!A195</f>
        <v>F33</v>
      </c>
      <c r="B82" s="2672"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29" t="s">
        <v>2470</v>
      </c>
      <c r="I82" s="1925" t="s">
        <v>2471</v>
      </c>
    </row>
    <row r="83" spans="1:9" ht="25.5" x14ac:dyDescent="0.2">
      <c r="A83" s="2714"/>
      <c r="B83" s="2673"/>
      <c r="C83" s="906" t="str">
        <f>F!C196</f>
        <v>None, or &lt;1% of the AA and largest pool occupies &lt;0.01 hectares. Enter "1" and SKIP to F38 (Floating Algae &amp; Duckweed).</v>
      </c>
      <c r="D83" s="1940">
        <f>F!D196</f>
        <v>0</v>
      </c>
      <c r="E83" s="489">
        <v>1</v>
      </c>
      <c r="F83" s="619">
        <f t="shared" ref="F83:F87" si="8">D83*E83</f>
        <v>0</v>
      </c>
      <c r="G83" s="835"/>
      <c r="H83" s="2430"/>
      <c r="I83" s="1926"/>
    </row>
    <row r="84" spans="1:9" x14ac:dyDescent="0.2">
      <c r="A84" s="2714"/>
      <c r="B84" s="2673"/>
      <c r="C84" s="906" t="str">
        <f>F!C197</f>
        <v>1-4% of the ponded water. Enter "1" and SKIP to F38 (Floating Algae &amp; Duckweed).</v>
      </c>
      <c r="D84" s="1940">
        <f>F!D197</f>
        <v>0</v>
      </c>
      <c r="E84" s="489">
        <v>2</v>
      </c>
      <c r="F84" s="619">
        <f t="shared" si="8"/>
        <v>0</v>
      </c>
      <c r="G84" s="835"/>
      <c r="H84" s="2430"/>
      <c r="I84" s="1926"/>
    </row>
    <row r="85" spans="1:9" x14ac:dyDescent="0.2">
      <c r="A85" s="2714"/>
      <c r="B85" s="2673"/>
      <c r="C85" s="906" t="str">
        <f>F!C198</f>
        <v>5-30% of the ponded water.</v>
      </c>
      <c r="D85" s="1940">
        <f>F!D198</f>
        <v>0</v>
      </c>
      <c r="E85" s="489">
        <v>3</v>
      </c>
      <c r="F85" s="619">
        <f t="shared" si="8"/>
        <v>0</v>
      </c>
      <c r="G85" s="835"/>
      <c r="H85" s="2430"/>
      <c r="I85" s="1926"/>
    </row>
    <row r="86" spans="1:9" x14ac:dyDescent="0.2">
      <c r="A86" s="2714"/>
      <c r="B86" s="2673"/>
      <c r="C86" s="906" t="str">
        <f>F!C199</f>
        <v>30-70% of the ponded water.</v>
      </c>
      <c r="D86" s="1940">
        <f>F!D199</f>
        <v>0</v>
      </c>
      <c r="E86" s="489">
        <v>2</v>
      </c>
      <c r="F86" s="619">
        <f t="shared" si="8"/>
        <v>0</v>
      </c>
      <c r="G86" s="837"/>
      <c r="H86" s="2430"/>
      <c r="I86" s="1926"/>
    </row>
    <row r="87" spans="1:9" ht="14.25" thickBot="1" x14ac:dyDescent="0.25">
      <c r="A87" s="2718"/>
      <c r="B87" s="2674"/>
      <c r="C87" s="1469" t="str">
        <f>F!C200</f>
        <v>70-99% of the ponded water.</v>
      </c>
      <c r="D87" s="1943">
        <f>F!D200</f>
        <v>0</v>
      </c>
      <c r="E87" s="909">
        <v>1</v>
      </c>
      <c r="F87" s="509">
        <f t="shared" si="8"/>
        <v>0</v>
      </c>
      <c r="G87" s="838"/>
      <c r="H87" s="2437"/>
      <c r="I87" s="1928"/>
    </row>
    <row r="88" spans="1:9" ht="39" thickBot="1" x14ac:dyDescent="0.25">
      <c r="A88" s="1573" t="str">
        <f>F!A202</f>
        <v>F34</v>
      </c>
      <c r="B88" s="272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32" t="s">
        <v>2472</v>
      </c>
      <c r="I88" s="2687" t="s">
        <v>2473</v>
      </c>
    </row>
    <row r="89" spans="1:9" ht="12.75" x14ac:dyDescent="0.2">
      <c r="A89" s="1573"/>
      <c r="B89" s="2721"/>
      <c r="C89" s="1474" t="str">
        <f>F!C203</f>
        <v>&lt;1 m.</v>
      </c>
      <c r="D89" s="1954">
        <f>F!D203</f>
        <v>0</v>
      </c>
      <c r="E89" s="493">
        <v>0</v>
      </c>
      <c r="F89" s="619">
        <f t="shared" ref="F89:F94" si="9">D89*E89</f>
        <v>0</v>
      </c>
      <c r="G89" s="841"/>
      <c r="H89" s="2684"/>
      <c r="I89" s="2688"/>
    </row>
    <row r="90" spans="1:9" ht="12.75" x14ac:dyDescent="0.2">
      <c r="A90" s="1573"/>
      <c r="B90" s="2721"/>
      <c r="C90" s="1475" t="str">
        <f>F!C204</f>
        <v>1 - 9 m.</v>
      </c>
      <c r="D90" s="1955">
        <f>F!D204</f>
        <v>0</v>
      </c>
      <c r="E90" s="493">
        <v>1</v>
      </c>
      <c r="F90" s="619">
        <f t="shared" si="9"/>
        <v>0</v>
      </c>
      <c r="G90" s="835"/>
      <c r="H90" s="2684"/>
      <c r="I90" s="2688"/>
    </row>
    <row r="91" spans="1:9" ht="12.75" x14ac:dyDescent="0.2">
      <c r="A91" s="1573"/>
      <c r="B91" s="2721"/>
      <c r="C91" s="1475" t="str">
        <f>F!C205</f>
        <v>10 - 29 m.</v>
      </c>
      <c r="D91" s="1955">
        <f>F!D205</f>
        <v>0</v>
      </c>
      <c r="E91" s="493">
        <v>2</v>
      </c>
      <c r="F91" s="619">
        <f t="shared" si="9"/>
        <v>0</v>
      </c>
      <c r="G91" s="835"/>
      <c r="H91" s="2684"/>
      <c r="I91" s="2688"/>
    </row>
    <row r="92" spans="1:9" ht="12.75" x14ac:dyDescent="0.2">
      <c r="A92" s="1573"/>
      <c r="B92" s="2721"/>
      <c r="C92" s="1475" t="str">
        <f>F!C206</f>
        <v>30 - 49 m.</v>
      </c>
      <c r="D92" s="1955">
        <f>F!D206</f>
        <v>0</v>
      </c>
      <c r="E92" s="493">
        <v>3</v>
      </c>
      <c r="F92" s="619">
        <f t="shared" si="9"/>
        <v>0</v>
      </c>
      <c r="G92" s="835"/>
      <c r="H92" s="2684"/>
      <c r="I92" s="2688"/>
    </row>
    <row r="93" spans="1:9" ht="12.75" x14ac:dyDescent="0.2">
      <c r="A93" s="1573"/>
      <c r="B93" s="2721"/>
      <c r="C93" s="1475" t="str">
        <f>F!C207</f>
        <v>50 - 100 m.</v>
      </c>
      <c r="D93" s="1955">
        <f>F!D207</f>
        <v>0</v>
      </c>
      <c r="E93" s="493">
        <v>4</v>
      </c>
      <c r="F93" s="619">
        <f t="shared" si="9"/>
        <v>0</v>
      </c>
      <c r="G93" s="837"/>
      <c r="H93" s="2684"/>
      <c r="I93" s="2688"/>
    </row>
    <row r="94" spans="1:9" thickBot="1" x14ac:dyDescent="0.25">
      <c r="A94" s="1573"/>
      <c r="B94" s="2722"/>
      <c r="C94" s="1476" t="str">
        <f>F!C208</f>
        <v>&gt; 100 m, or open water is absent at that time.</v>
      </c>
      <c r="D94" s="1956">
        <f>F!D208</f>
        <v>0</v>
      </c>
      <c r="E94" s="604">
        <v>6</v>
      </c>
      <c r="F94" s="621">
        <f t="shared" si="9"/>
        <v>0</v>
      </c>
      <c r="G94" s="837"/>
      <c r="H94" s="2684"/>
      <c r="I94" s="2688"/>
    </row>
    <row r="95" spans="1:9" ht="64.5" thickBot="1" x14ac:dyDescent="0.25">
      <c r="A95" s="1569" t="str">
        <f>F!A232</f>
        <v>F43</v>
      </c>
      <c r="B95" s="2672"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431" t="s">
        <v>2474</v>
      </c>
      <c r="I95" s="1921" t="s">
        <v>2475</v>
      </c>
    </row>
    <row r="96" spans="1:9" x14ac:dyDescent="0.2">
      <c r="A96" s="939"/>
      <c r="B96" s="2673"/>
      <c r="C96" s="906" t="str">
        <f>F!C233</f>
        <v>Persistent (surface water flows out for &gt;9 months/year).</v>
      </c>
      <c r="D96" s="834">
        <f>F!D233</f>
        <v>0</v>
      </c>
      <c r="E96" s="493">
        <v>4</v>
      </c>
      <c r="F96" s="619">
        <f t="shared" ref="F96:F100" si="10">D96*E96</f>
        <v>0</v>
      </c>
      <c r="G96" s="835"/>
      <c r="H96" s="2432"/>
      <c r="I96" s="1922"/>
    </row>
    <row r="97" spans="1:10" ht="25.5" x14ac:dyDescent="0.2">
      <c r="A97" s="939"/>
      <c r="B97" s="2673"/>
      <c r="C97" s="906" t="str">
        <f>F!C234</f>
        <v>Seasonal (surface water flows out for 14 days to 9 months/year, not necessarily consecutive).</v>
      </c>
      <c r="D97" s="834">
        <f>F!D234</f>
        <v>0</v>
      </c>
      <c r="E97" s="493">
        <v>2</v>
      </c>
      <c r="F97" s="619">
        <f t="shared" si="10"/>
        <v>0</v>
      </c>
      <c r="G97" s="835"/>
      <c r="H97" s="2432"/>
      <c r="I97" s="1922"/>
    </row>
    <row r="98" spans="1:10" x14ac:dyDescent="0.2">
      <c r="A98" s="939"/>
      <c r="B98" s="2673"/>
      <c r="C98" s="906" t="str">
        <f>F!C235</f>
        <v>Temporary (surface water flows out for &lt;14 days, not necessarily consecutive).</v>
      </c>
      <c r="D98" s="834">
        <f>F!D235</f>
        <v>0</v>
      </c>
      <c r="E98" s="493">
        <v>1</v>
      </c>
      <c r="F98" s="619">
        <f t="shared" si="10"/>
        <v>0</v>
      </c>
      <c r="G98" s="835"/>
      <c r="H98" s="2432"/>
      <c r="I98" s="1922"/>
    </row>
    <row r="99" spans="1:10" ht="51" x14ac:dyDescent="0.2">
      <c r="A99" s="939"/>
      <c r="B99" s="2673"/>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32"/>
      <c r="I99" s="1922"/>
    </row>
    <row r="100" spans="1:10" ht="39" thickBot="1" x14ac:dyDescent="0.25">
      <c r="A100" s="940"/>
      <c r="B100" s="2674"/>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33"/>
      <c r="I100" s="1923"/>
    </row>
    <row r="101" spans="1:10" thickBot="1" x14ac:dyDescent="0.25">
      <c r="A101" s="2723" t="str">
        <f>F!A251</f>
        <v>F47</v>
      </c>
      <c r="B101" s="2670" t="str">
        <f>F!B251</f>
        <v>Beaver Probability [SFTS, CC, APP, FA, FR, AM, WBF, WBN, RSB, KMH, PH, Sens]</v>
      </c>
      <c r="C101" s="829" t="str">
        <f>F!C251</f>
        <v>Use of the AA by beaver during the past 5 years is (select most applicable ONE):</v>
      </c>
      <c r="D101" s="839"/>
      <c r="E101" s="910"/>
      <c r="F101" s="510"/>
      <c r="G101" s="623">
        <f>MAX(F102:F104)/MAX(E102:E104)</f>
        <v>0</v>
      </c>
      <c r="H101" s="2431" t="s">
        <v>2476</v>
      </c>
      <c r="I101" s="2687" t="s">
        <v>2477</v>
      </c>
    </row>
    <row r="102" spans="1:10" ht="25.5" x14ac:dyDescent="0.2">
      <c r="A102" s="2724"/>
      <c r="B102" s="2664"/>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32"/>
      <c r="I102" s="2689"/>
    </row>
    <row r="103" spans="1:10" ht="51" x14ac:dyDescent="0.2">
      <c r="A103" s="2724"/>
      <c r="B103" s="2664"/>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 t="shared" si="11"/>
        <v>0</v>
      </c>
      <c r="G103" s="835"/>
      <c r="H103" s="2432"/>
      <c r="I103" s="2689"/>
    </row>
    <row r="104" spans="1:10" ht="26.25" thickBot="1" x14ac:dyDescent="0.25">
      <c r="A104" s="2724"/>
      <c r="B104" s="2665"/>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32"/>
      <c r="I104" s="2690"/>
    </row>
    <row r="105" spans="1:10" ht="42" customHeight="1" thickBot="1" x14ac:dyDescent="0.25">
      <c r="A105" s="2723" t="str">
        <f>F!A266</f>
        <v>F50</v>
      </c>
      <c r="B105" s="2725"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v>
      </c>
      <c r="H105" s="2431" t="s">
        <v>8579</v>
      </c>
      <c r="I105" s="1921" t="s">
        <v>8580</v>
      </c>
    </row>
    <row r="106" spans="1:10" x14ac:dyDescent="0.2">
      <c r="A106" s="2724"/>
      <c r="B106" s="2726"/>
      <c r="C106" s="1829" t="str">
        <f>F!C267</f>
        <v>&lt;5%.</v>
      </c>
      <c r="D106" s="1876">
        <f>F!D267</f>
        <v>0</v>
      </c>
      <c r="E106" s="619">
        <v>0</v>
      </c>
      <c r="F106" s="621">
        <f t="shared" ref="F106:F110" si="12">D106*E106</f>
        <v>0</v>
      </c>
      <c r="G106" s="1485"/>
      <c r="H106" s="2432"/>
      <c r="I106" s="1922"/>
    </row>
    <row r="107" spans="1:10" x14ac:dyDescent="0.2">
      <c r="A107" s="2724"/>
      <c r="B107" s="2726"/>
      <c r="C107" s="1829" t="str">
        <f>F!C268</f>
        <v>5 to &lt;30%.</v>
      </c>
      <c r="D107" s="1876">
        <f>F!D268</f>
        <v>0</v>
      </c>
      <c r="E107" s="619">
        <v>2</v>
      </c>
      <c r="F107" s="621">
        <f t="shared" si="12"/>
        <v>0</v>
      </c>
      <c r="G107" s="1877"/>
      <c r="H107" s="2432"/>
      <c r="I107" s="1922"/>
    </row>
    <row r="108" spans="1:10" x14ac:dyDescent="0.2">
      <c r="A108" s="2724"/>
      <c r="B108" s="2726"/>
      <c r="C108" s="1829" t="str">
        <f>F!C269</f>
        <v>30 to &lt;60%.</v>
      </c>
      <c r="D108" s="1876">
        <f>F!D269</f>
        <v>0</v>
      </c>
      <c r="E108" s="619">
        <v>3</v>
      </c>
      <c r="F108" s="621">
        <f t="shared" si="12"/>
        <v>0</v>
      </c>
      <c r="G108" s="1877"/>
      <c r="H108" s="2432"/>
      <c r="I108" s="1922"/>
    </row>
    <row r="109" spans="1:10" x14ac:dyDescent="0.2">
      <c r="A109" s="2724"/>
      <c r="B109" s="2726"/>
      <c r="C109" s="1829" t="str">
        <f>F!C270</f>
        <v>60 to 90%.</v>
      </c>
      <c r="D109" s="1876">
        <f>F!D270</f>
        <v>0</v>
      </c>
      <c r="E109" s="619">
        <v>5</v>
      </c>
      <c r="F109" s="621">
        <f t="shared" si="12"/>
        <v>0</v>
      </c>
      <c r="G109" s="1877"/>
      <c r="H109" s="2432"/>
      <c r="I109" s="1922"/>
    </row>
    <row r="110" spans="1:10" ht="14.25" thickBot="1" x14ac:dyDescent="0.25">
      <c r="A110" s="2728"/>
      <c r="B110" s="2727"/>
      <c r="C110" s="1831" t="str">
        <f>F!C271</f>
        <v>&gt;90%, or all the area within 30 m of the AA edge is other wetlands. SKIP to F53.</v>
      </c>
      <c r="D110" s="1879">
        <f>F!D271</f>
        <v>0</v>
      </c>
      <c r="E110" s="509">
        <v>6</v>
      </c>
      <c r="F110" s="509">
        <f t="shared" si="12"/>
        <v>0</v>
      </c>
      <c r="G110" s="1880"/>
      <c r="H110" s="2433"/>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70"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31" t="s">
        <v>2479</v>
      </c>
      <c r="I114" s="1932" t="s">
        <v>2480</v>
      </c>
    </row>
    <row r="115" spans="1:11" x14ac:dyDescent="0.2">
      <c r="A115" s="1584"/>
      <c r="B115" s="2664"/>
      <c r="C115" s="906" t="str">
        <f>OF!C19</f>
        <v>&lt;0.01 hectare (about 10 m x 10 m).</v>
      </c>
      <c r="D115" s="834">
        <v>1</v>
      </c>
      <c r="E115" s="491">
        <v>3</v>
      </c>
      <c r="F115" s="619">
        <f t="shared" ref="F115:F120" si="13">D115*E115</f>
        <v>3</v>
      </c>
      <c r="G115" s="843"/>
      <c r="H115" s="2432"/>
      <c r="I115" s="1932"/>
    </row>
    <row r="116" spans="1:11" x14ac:dyDescent="0.2">
      <c r="A116" s="1584"/>
      <c r="B116" s="2664"/>
      <c r="C116" s="906" t="str">
        <f>OF!C20</f>
        <v>0.01 - 0.1 hectare.</v>
      </c>
      <c r="D116" s="834">
        <v>0</v>
      </c>
      <c r="E116" s="491">
        <v>2</v>
      </c>
      <c r="F116" s="619">
        <f t="shared" si="13"/>
        <v>0</v>
      </c>
      <c r="G116" s="845"/>
      <c r="H116" s="2432"/>
      <c r="I116" s="1932"/>
    </row>
    <row r="117" spans="1:11" x14ac:dyDescent="0.2">
      <c r="A117" s="1584"/>
      <c r="B117" s="2664"/>
      <c r="C117" s="906" t="str">
        <f>OF!C21</f>
        <v>0.1 - 1 hectare.</v>
      </c>
      <c r="D117" s="834">
        <v>0</v>
      </c>
      <c r="E117" s="491">
        <v>1</v>
      </c>
      <c r="F117" s="619">
        <f t="shared" si="13"/>
        <v>0</v>
      </c>
      <c r="G117" s="845"/>
      <c r="H117" s="2432"/>
      <c r="I117" s="1932"/>
    </row>
    <row r="118" spans="1:11" x14ac:dyDescent="0.2">
      <c r="A118" s="1584"/>
      <c r="B118" s="2664"/>
      <c r="C118" s="906" t="str">
        <f>OF!C22</f>
        <v>1 to 10 hectares.</v>
      </c>
      <c r="D118" s="834">
        <v>0</v>
      </c>
      <c r="E118" s="491">
        <v>1</v>
      </c>
      <c r="F118" s="619">
        <f t="shared" si="13"/>
        <v>0</v>
      </c>
      <c r="G118" s="845"/>
      <c r="H118" s="2432"/>
      <c r="I118" s="1932"/>
    </row>
    <row r="119" spans="1:11" x14ac:dyDescent="0.2">
      <c r="A119" s="1584"/>
      <c r="B119" s="2664"/>
      <c r="C119" s="906" t="str">
        <f>OF!C23</f>
        <v>10 to 100 hectares.</v>
      </c>
      <c r="D119" s="834">
        <v>0</v>
      </c>
      <c r="E119" s="491">
        <v>0</v>
      </c>
      <c r="F119" s="619">
        <f t="shared" si="13"/>
        <v>0</v>
      </c>
      <c r="G119" s="845"/>
      <c r="H119" s="2432"/>
      <c r="I119" s="1932"/>
      <c r="K119" s="504"/>
    </row>
    <row r="120" spans="1:11" ht="14.25" thickBot="1" x14ac:dyDescent="0.25">
      <c r="A120" s="1584"/>
      <c r="B120" s="2665"/>
      <c r="C120" s="907" t="str">
        <f>OF!C24</f>
        <v>&gt;100 hectares.</v>
      </c>
      <c r="D120" s="836">
        <v>0</v>
      </c>
      <c r="E120" s="518">
        <v>0</v>
      </c>
      <c r="F120" s="621">
        <f t="shared" si="13"/>
        <v>0</v>
      </c>
      <c r="G120" s="848"/>
      <c r="H120" s="2432"/>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2483</v>
      </c>
      <c r="I122" s="1932" t="s">
        <v>2484</v>
      </c>
      <c r="K122" s="2"/>
    </row>
    <row r="123" spans="1:11" ht="26.25" thickBot="1" x14ac:dyDescent="0.25">
      <c r="A123" s="1583" t="s">
        <v>113</v>
      </c>
      <c r="B123" s="2670" t="str">
        <f>OF!B53</f>
        <v>Distance by Road to Nearest Population Center [NRb, WFRb, FAb, FRb, WBFb, RSB, KMHb, PH, CRI, STR]</v>
      </c>
      <c r="C123" s="829" t="s">
        <v>2485</v>
      </c>
      <c r="D123" s="852"/>
      <c r="E123" s="490"/>
      <c r="F123" s="510"/>
      <c r="G123" s="850">
        <f>MAX(F124:F128)/MAX(E124:E128)</f>
        <v>1</v>
      </c>
      <c r="H123" s="2431" t="s">
        <v>2486</v>
      </c>
      <c r="I123" s="1933" t="s">
        <v>2487</v>
      </c>
      <c r="K123" s="504"/>
    </row>
    <row r="124" spans="1:11" x14ac:dyDescent="0.2">
      <c r="A124" s="1587"/>
      <c r="B124" s="2664"/>
      <c r="C124" s="1468" t="s">
        <v>2488</v>
      </c>
      <c r="D124" s="834">
        <v>1</v>
      </c>
      <c r="E124" s="491">
        <v>6</v>
      </c>
      <c r="F124" s="619">
        <f t="shared" ref="F124:F128" si="14">D124*E124</f>
        <v>6</v>
      </c>
      <c r="G124" s="845"/>
      <c r="H124" s="2432"/>
      <c r="I124" s="1932"/>
      <c r="K124" s="505"/>
    </row>
    <row r="125" spans="1:11" x14ac:dyDescent="0.2">
      <c r="A125" s="1587"/>
      <c r="B125" s="2664"/>
      <c r="C125" s="906" t="s">
        <v>2489</v>
      </c>
      <c r="D125" s="834">
        <v>0</v>
      </c>
      <c r="E125" s="491">
        <v>5</v>
      </c>
      <c r="F125" s="619">
        <f t="shared" si="14"/>
        <v>0</v>
      </c>
      <c r="G125" s="845"/>
      <c r="H125" s="2432"/>
      <c r="I125" s="1932"/>
      <c r="K125" s="504"/>
    </row>
    <row r="126" spans="1:11" x14ac:dyDescent="0.2">
      <c r="A126" s="1587"/>
      <c r="B126" s="2664"/>
      <c r="C126" s="906" t="s">
        <v>2490</v>
      </c>
      <c r="D126" s="834">
        <v>0</v>
      </c>
      <c r="E126" s="491">
        <v>4</v>
      </c>
      <c r="F126" s="619">
        <f t="shared" si="14"/>
        <v>0</v>
      </c>
      <c r="G126" s="845"/>
      <c r="H126" s="2432"/>
      <c r="I126" s="1932"/>
      <c r="K126" s="504"/>
    </row>
    <row r="127" spans="1:11" x14ac:dyDescent="0.2">
      <c r="A127" s="1587"/>
      <c r="B127" s="2664"/>
      <c r="C127" s="906" t="s">
        <v>2491</v>
      </c>
      <c r="D127" s="834">
        <v>0</v>
      </c>
      <c r="E127" s="491">
        <v>2</v>
      </c>
      <c r="F127" s="619">
        <f t="shared" si="14"/>
        <v>0</v>
      </c>
      <c r="G127" s="845"/>
      <c r="H127" s="2432"/>
      <c r="I127" s="1932"/>
      <c r="K127" s="504"/>
    </row>
    <row r="128" spans="1:11" ht="14.25" thickBot="1" x14ac:dyDescent="0.25">
      <c r="A128" s="1588"/>
      <c r="B128" s="2671"/>
      <c r="C128" s="1469" t="s">
        <v>2492</v>
      </c>
      <c r="D128" s="840">
        <v>0</v>
      </c>
      <c r="E128" s="492">
        <v>0</v>
      </c>
      <c r="F128" s="509">
        <f t="shared" si="14"/>
        <v>0</v>
      </c>
      <c r="G128" s="847"/>
      <c r="H128" s="2433"/>
      <c r="I128" s="1934"/>
      <c r="K128" s="504"/>
    </row>
    <row r="129" spans="1:11" ht="26.25" thickBot="1" x14ac:dyDescent="0.25">
      <c r="A129" s="2719" t="str">
        <f>OF!A74</f>
        <v>OF13</v>
      </c>
      <c r="B129" s="270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692" t="s">
        <v>2493</v>
      </c>
      <c r="I129" s="1933" t="s">
        <v>2494</v>
      </c>
      <c r="K129" s="504"/>
    </row>
    <row r="130" spans="1:11" ht="25.5" x14ac:dyDescent="0.2">
      <c r="A130" s="2719"/>
      <c r="B130" s="2673"/>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692"/>
      <c r="I130" s="1932"/>
      <c r="K130" s="504"/>
    </row>
    <row r="131" spans="1:11" x14ac:dyDescent="0.2">
      <c r="A131" s="2719"/>
      <c r="B131" s="2673"/>
      <c r="C131" s="906" t="str">
        <f>OF!C76</f>
        <v>&lt;50 m, but completely separated by those features.</v>
      </c>
      <c r="D131" s="834">
        <f>OF!D76</f>
        <v>0</v>
      </c>
      <c r="E131" s="493">
        <v>0</v>
      </c>
      <c r="F131" s="619">
        <f t="shared" si="15"/>
        <v>0</v>
      </c>
      <c r="G131" s="845"/>
      <c r="H131" s="2692"/>
      <c r="I131" s="1932"/>
      <c r="K131" s="504"/>
    </row>
    <row r="132" spans="1:11" x14ac:dyDescent="0.2">
      <c r="A132" s="2719"/>
      <c r="B132" s="2673"/>
      <c r="C132" s="906" t="str">
        <f>OF!C77</f>
        <v>50-500 m, and not separated.</v>
      </c>
      <c r="D132" s="834">
        <f>OF!D77</f>
        <v>0</v>
      </c>
      <c r="E132" s="493">
        <v>1</v>
      </c>
      <c r="F132" s="619">
        <f t="shared" si="15"/>
        <v>0</v>
      </c>
      <c r="G132" s="845"/>
      <c r="H132" s="2692"/>
      <c r="I132" s="1932"/>
      <c r="K132" s="504"/>
    </row>
    <row r="133" spans="1:11" x14ac:dyDescent="0.2">
      <c r="A133" s="2719"/>
      <c r="B133" s="2673"/>
      <c r="C133" s="906" t="str">
        <f>OF!C78</f>
        <v>50-500 m, but separated by those features.</v>
      </c>
      <c r="D133" s="834">
        <f>OF!D78</f>
        <v>0</v>
      </c>
      <c r="E133" s="493">
        <v>1</v>
      </c>
      <c r="F133" s="619">
        <f t="shared" si="15"/>
        <v>0</v>
      </c>
      <c r="G133" s="845"/>
      <c r="H133" s="2692"/>
      <c r="I133" s="1932"/>
      <c r="K133" s="504"/>
    </row>
    <row r="134" spans="1:11" x14ac:dyDescent="0.2">
      <c r="A134" s="2719"/>
      <c r="B134" s="2673"/>
      <c r="C134" s="906" t="str">
        <f>OF!C79</f>
        <v>0.5 - 1 km, and not separated.</v>
      </c>
      <c r="D134" s="834">
        <f>OF!D79</f>
        <v>0</v>
      </c>
      <c r="E134" s="493">
        <v>3</v>
      </c>
      <c r="F134" s="619">
        <f t="shared" si="15"/>
        <v>0</v>
      </c>
      <c r="G134" s="845"/>
      <c r="H134" s="2692"/>
      <c r="I134" s="1932"/>
      <c r="K134" s="504"/>
    </row>
    <row r="135" spans="1:11" x14ac:dyDescent="0.2">
      <c r="A135" s="2719"/>
      <c r="B135" s="2673"/>
      <c r="C135" s="907" t="str">
        <f>OF!C80</f>
        <v>0.5 - 1 km, but separated by those features.</v>
      </c>
      <c r="D135" s="836">
        <f>OF!D80</f>
        <v>0</v>
      </c>
      <c r="E135" s="514">
        <v>3</v>
      </c>
      <c r="F135" s="619">
        <f t="shared" si="15"/>
        <v>0</v>
      </c>
      <c r="G135" s="845"/>
      <c r="H135" s="2692"/>
      <c r="I135" s="1932"/>
      <c r="K135" s="504"/>
    </row>
    <row r="136" spans="1:11" ht="14.25" thickBot="1" x14ac:dyDescent="0.25">
      <c r="A136" s="1586"/>
      <c r="B136" s="2702"/>
      <c r="C136" s="907" t="str">
        <f>OF!C81</f>
        <v>None of the above (the closest patches or corridors that large are &gt;1 km away).</v>
      </c>
      <c r="D136" s="836">
        <f>OF!D81</f>
        <v>0</v>
      </c>
      <c r="E136" s="514">
        <v>4</v>
      </c>
      <c r="F136" s="621">
        <f t="shared" ref="F136" si="16">D136*E136</f>
        <v>0</v>
      </c>
      <c r="G136" s="1502"/>
      <c r="H136" s="2692"/>
      <c r="I136" s="1932"/>
      <c r="K136" s="504"/>
    </row>
    <row r="137" spans="1:11" ht="22.5" customHeight="1" thickBot="1" x14ac:dyDescent="0.25">
      <c r="A137" s="2715" t="s">
        <v>636</v>
      </c>
      <c r="B137" s="2672" t="str">
        <f>F!B323</f>
        <v>Consumptive Uses (Provisioning Services)  [FAb, FRb, WBFb, PHb, CRI]</v>
      </c>
      <c r="C137" s="1501" t="str">
        <f>F!C327</f>
        <v>Moose hunting</v>
      </c>
      <c r="D137" s="1503">
        <f>F!D330</f>
        <v>0</v>
      </c>
      <c r="E137" s="910"/>
      <c r="F137" s="936"/>
      <c r="G137" s="850">
        <f>MAX(D137,D138)</f>
        <v>0</v>
      </c>
      <c r="H137" s="2708" t="s">
        <v>2495</v>
      </c>
      <c r="I137" s="2695" t="s">
        <v>2496</v>
      </c>
      <c r="K137" s="504"/>
    </row>
    <row r="138" spans="1:11" ht="35.25" customHeight="1" thickBot="1" x14ac:dyDescent="0.25">
      <c r="A138" s="2716"/>
      <c r="B138" s="2674"/>
      <c r="C138" s="832" t="str">
        <f>F!C329</f>
        <v>Trapping of furbearers</v>
      </c>
      <c r="D138" s="840">
        <f>F!D329</f>
        <v>0</v>
      </c>
      <c r="E138" s="604"/>
      <c r="F138" s="509"/>
      <c r="G138" s="1504"/>
      <c r="H138" s="2709"/>
      <c r="I138" s="2696"/>
      <c r="K138" s="504"/>
    </row>
    <row r="139" spans="1:11" ht="14.25" thickBot="1" x14ac:dyDescent="0.25">
      <c r="C139" s="1818"/>
      <c r="D139" s="1819"/>
      <c r="E139" s="495"/>
      <c r="F139" s="495"/>
      <c r="G139" s="495"/>
      <c r="H139" s="495"/>
      <c r="K139" s="504"/>
    </row>
    <row r="140" spans="1:11" ht="90" thickBot="1" x14ac:dyDescent="0.25">
      <c r="C140" s="2703" t="s">
        <v>1053</v>
      </c>
      <c r="D140" s="2697" t="s">
        <v>661</v>
      </c>
      <c r="E140" s="2698"/>
      <c r="F140" s="2698"/>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704"/>
      <c r="D141" s="2693" t="s">
        <v>662</v>
      </c>
      <c r="E141" s="2694"/>
      <c r="F141" s="2694"/>
      <c r="G141" s="1466">
        <f>MAX(Beaver, AVERAGE(Beaver15, (2*AVERAGE(Outflow15,PersisW15, Decid15, MAX(swamp, Marsh),Wettype15, Fringe15, BuffPct19) + AVERAGE(PondProx11a, LCinter11,RoadBox11,DistPond15)))/3)</f>
        <v>4.1666666666666664E-2</v>
      </c>
      <c r="H141" s="1467" t="s">
        <v>8583</v>
      </c>
      <c r="I141" s="1937" t="s">
        <v>2499</v>
      </c>
      <c r="J141" s="1460" t="s">
        <v>2500</v>
      </c>
      <c r="K141" s="713"/>
    </row>
    <row r="142" spans="1:11" ht="64.5" thickBot="1" x14ac:dyDescent="0.25">
      <c r="C142" s="2705"/>
      <c r="D142" s="2706" t="s">
        <v>663</v>
      </c>
      <c r="E142" s="2707"/>
      <c r="F142" s="2707"/>
      <c r="G142" s="908">
        <f>MAX(Muskrat,(2*AVERAGE(HerbCov15a/6,marsh2) + AVERAGE(Fringe15, Cattail15, Fluc15, Outflow15,DepthDom15, Vwidth15, GrowD15))/3)</f>
        <v>0</v>
      </c>
      <c r="H142" s="1465" t="s">
        <v>8585</v>
      </c>
      <c r="I142" s="1938" t="s">
        <v>2501</v>
      </c>
      <c r="J142" s="1461" t="s">
        <v>2502</v>
      </c>
    </row>
    <row r="143" spans="1:11" ht="21" thickBot="1" x14ac:dyDescent="0.25">
      <c r="C143" s="2678" t="s">
        <v>2503</v>
      </c>
      <c r="D143" s="2679"/>
      <c r="E143" s="2680"/>
      <c r="F143" s="520" t="s">
        <v>988</v>
      </c>
      <c r="G143" s="1462" t="e">
        <f>10*MAX(MooseScore, BeaverScore, MuskratScore)</f>
        <v>#VALUE!</v>
      </c>
      <c r="H143" s="2681" t="s">
        <v>2504</v>
      </c>
      <c r="I143" s="2691"/>
      <c r="J143" s="506" t="s">
        <v>2505</v>
      </c>
    </row>
    <row r="144" spans="1:11" ht="39" thickBot="1" x14ac:dyDescent="0.25">
      <c r="C144" s="2678" t="s">
        <v>2506</v>
      </c>
      <c r="D144" s="2679"/>
      <c r="E144" s="2680"/>
      <c r="F144" s="520" t="s">
        <v>991</v>
      </c>
      <c r="G144" s="1463">
        <f>10*(AVERAGE(LC2miV11,PondDist15v )+ MAX(MooseHunt11v, Trapping11v) + DistTown11v)/ 3</f>
        <v>1.6666666666666667</v>
      </c>
      <c r="H144" s="2681" t="s">
        <v>2507</v>
      </c>
      <c r="I144" s="2682"/>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 ref="A62:A67"/>
    <mergeCell ref="I56:I60"/>
    <mergeCell ref="B69:B74"/>
    <mergeCell ref="A69:A74"/>
    <mergeCell ref="I62:I67"/>
    <mergeCell ref="H69:H74"/>
    <mergeCell ref="I49:I55"/>
    <mergeCell ref="I18:I23"/>
    <mergeCell ref="I3:I9"/>
    <mergeCell ref="I10:I17"/>
    <mergeCell ref="I25:I31"/>
    <mergeCell ref="C140:C142"/>
    <mergeCell ref="B129:B136"/>
    <mergeCell ref="D142:F142"/>
    <mergeCell ref="H137:H138"/>
    <mergeCell ref="B75:B80"/>
    <mergeCell ref="B137:B138"/>
    <mergeCell ref="H41:H48"/>
    <mergeCell ref="H49:H55"/>
    <mergeCell ref="H62:H67"/>
    <mergeCell ref="B41:B48"/>
    <mergeCell ref="B49:B55"/>
    <mergeCell ref="B62:B67"/>
    <mergeCell ref="B56:B60"/>
    <mergeCell ref="H56:H60"/>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44" t="s">
        <v>2542</v>
      </c>
      <c r="B1" s="2745"/>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80" t="str">
        <f>OF!A18</f>
        <v>OF3</v>
      </c>
      <c r="B3" s="2508"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v>
      </c>
      <c r="H3" s="2266" t="s">
        <v>2544</v>
      </c>
      <c r="I3" s="384" t="s">
        <v>2545</v>
      </c>
    </row>
    <row r="4" spans="1:9" x14ac:dyDescent="0.2">
      <c r="A4" s="2280"/>
      <c r="B4" s="2506"/>
      <c r="C4" s="281" t="str">
        <f>OF!C19</f>
        <v>&lt;0.01 hectare (about 10 m x 10 m).</v>
      </c>
      <c r="D4" s="399">
        <f>OF!D19</f>
        <v>0</v>
      </c>
      <c r="E4" s="88">
        <v>0</v>
      </c>
      <c r="F4" s="76">
        <f t="shared" ref="F4:F9" si="0">D4*E4</f>
        <v>0</v>
      </c>
      <c r="G4" s="191"/>
      <c r="H4" s="2266"/>
      <c r="I4" s="359"/>
    </row>
    <row r="5" spans="1:9" x14ac:dyDescent="0.2">
      <c r="A5" s="2280"/>
      <c r="B5" s="2506"/>
      <c r="C5" s="281" t="str">
        <f>OF!C20</f>
        <v>0.01 - 0.1 hectare.</v>
      </c>
      <c r="D5" s="399">
        <f>OF!D20</f>
        <v>0</v>
      </c>
      <c r="E5" s="88">
        <v>1</v>
      </c>
      <c r="F5" s="76">
        <f t="shared" si="0"/>
        <v>0</v>
      </c>
      <c r="G5" s="192"/>
      <c r="H5" s="2266"/>
      <c r="I5" s="359"/>
    </row>
    <row r="6" spans="1:9" x14ac:dyDescent="0.2">
      <c r="A6" s="2280"/>
      <c r="B6" s="2506"/>
      <c r="C6" s="281" t="str">
        <f>OF!C21</f>
        <v>0.1 - 1 hectare.</v>
      </c>
      <c r="D6" s="399">
        <f>OF!D21</f>
        <v>0</v>
      </c>
      <c r="E6" s="88">
        <v>2</v>
      </c>
      <c r="F6" s="76">
        <f t="shared" si="0"/>
        <v>0</v>
      </c>
      <c r="G6" s="192"/>
      <c r="H6" s="2266"/>
      <c r="I6" s="359"/>
    </row>
    <row r="7" spans="1:9" x14ac:dyDescent="0.2">
      <c r="A7" s="2280"/>
      <c r="B7" s="2506"/>
      <c r="C7" s="281" t="str">
        <f>OF!C22</f>
        <v>1 to 10 hectares.</v>
      </c>
      <c r="D7" s="399">
        <f>OF!D22</f>
        <v>0</v>
      </c>
      <c r="E7" s="88">
        <v>3</v>
      </c>
      <c r="F7" s="76">
        <f t="shared" si="0"/>
        <v>0</v>
      </c>
      <c r="G7" s="192"/>
      <c r="H7" s="2266"/>
      <c r="I7" s="359"/>
    </row>
    <row r="8" spans="1:9" x14ac:dyDescent="0.2">
      <c r="A8" s="2280"/>
      <c r="B8" s="2506"/>
      <c r="C8" s="281" t="str">
        <f>OF!C23</f>
        <v>10 to 100 hectares.</v>
      </c>
      <c r="D8" s="399">
        <f>OF!D23</f>
        <v>0</v>
      </c>
      <c r="E8" s="88">
        <v>5</v>
      </c>
      <c r="F8" s="76">
        <f t="shared" si="0"/>
        <v>0</v>
      </c>
      <c r="G8" s="192"/>
      <c r="H8" s="2266"/>
      <c r="I8" s="359"/>
    </row>
    <row r="9" spans="1:9" ht="17.25" thickBot="1" x14ac:dyDescent="0.25">
      <c r="A9" s="2280"/>
      <c r="B9" s="2509"/>
      <c r="C9" s="151" t="str">
        <f>OF!C24</f>
        <v>&gt;100 hectares.</v>
      </c>
      <c r="D9" s="411">
        <f>OF!D24</f>
        <v>0</v>
      </c>
      <c r="E9" s="340">
        <v>7</v>
      </c>
      <c r="F9" s="79">
        <f t="shared" si="0"/>
        <v>0</v>
      </c>
      <c r="G9" s="211"/>
      <c r="H9" s="2266"/>
      <c r="I9" s="335"/>
    </row>
    <row r="10" spans="1:9" ht="39" thickBot="1" x14ac:dyDescent="0.25">
      <c r="A10" s="2541" t="str">
        <f>OF!A25</f>
        <v>OF4</v>
      </c>
      <c r="B10" s="250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v>
      </c>
      <c r="H10" s="2271" t="s">
        <v>8953</v>
      </c>
      <c r="I10" s="384" t="s">
        <v>2546</v>
      </c>
    </row>
    <row r="11" spans="1:9" x14ac:dyDescent="0.2">
      <c r="A11" s="2280"/>
      <c r="B11" s="2506"/>
      <c r="C11" s="727" t="str">
        <f>OF!C26</f>
        <v>&lt;0.01 hectare (about 10 m x 10 m).</v>
      </c>
      <c r="D11" s="398">
        <f>OF!D26</f>
        <v>0</v>
      </c>
      <c r="E11" s="75">
        <v>0</v>
      </c>
      <c r="F11" s="76">
        <f t="shared" ref="F11:F17" si="1">D11*E11</f>
        <v>0</v>
      </c>
      <c r="G11" s="191"/>
      <c r="H11" s="2266"/>
      <c r="I11" s="359"/>
    </row>
    <row r="12" spans="1:9" x14ac:dyDescent="0.2">
      <c r="A12" s="2280"/>
      <c r="B12" s="2506"/>
      <c r="C12" s="766" t="str">
        <f>OF!C27</f>
        <v>0.01 - 0.1 hectare.</v>
      </c>
      <c r="D12" s="399">
        <f>OF!D27</f>
        <v>0</v>
      </c>
      <c r="E12" s="75">
        <v>1</v>
      </c>
      <c r="F12" s="76">
        <f t="shared" si="1"/>
        <v>0</v>
      </c>
      <c r="G12" s="192"/>
      <c r="H12" s="2266"/>
      <c r="I12" s="359"/>
    </row>
    <row r="13" spans="1:9" x14ac:dyDescent="0.2">
      <c r="A13" s="2280"/>
      <c r="B13" s="2506"/>
      <c r="C13" s="766" t="str">
        <f>OF!C28</f>
        <v>0.1 - 1 hectare.</v>
      </c>
      <c r="D13" s="399">
        <f>OF!D28</f>
        <v>0</v>
      </c>
      <c r="E13" s="75">
        <v>2</v>
      </c>
      <c r="F13" s="76">
        <f t="shared" si="1"/>
        <v>0</v>
      </c>
      <c r="G13" s="192"/>
      <c r="H13" s="2266"/>
      <c r="I13" s="359"/>
    </row>
    <row r="14" spans="1:9" x14ac:dyDescent="0.2">
      <c r="A14" s="2280"/>
      <c r="B14" s="2506"/>
      <c r="C14" s="1505" t="str">
        <f>OF!C29</f>
        <v>1 to 10 hectares.</v>
      </c>
      <c r="D14" s="857">
        <f>OF!D29</f>
        <v>0</v>
      </c>
      <c r="E14" s="75">
        <v>3</v>
      </c>
      <c r="F14" s="76">
        <f t="shared" si="1"/>
        <v>0</v>
      </c>
      <c r="G14" s="192"/>
      <c r="H14" s="2266"/>
      <c r="I14" s="359"/>
    </row>
    <row r="15" spans="1:9" x14ac:dyDescent="0.2">
      <c r="A15" s="2280"/>
      <c r="B15" s="2506"/>
      <c r="C15" s="1505" t="str">
        <f>OF!C30</f>
        <v>10 to 100 hectares.</v>
      </c>
      <c r="D15" s="857">
        <f>OF!D30</f>
        <v>0</v>
      </c>
      <c r="E15" s="75">
        <v>5</v>
      </c>
      <c r="F15" s="76">
        <f t="shared" si="1"/>
        <v>0</v>
      </c>
      <c r="G15" s="192"/>
      <c r="H15" s="2266"/>
      <c r="I15" s="359"/>
    </row>
    <row r="16" spans="1:9" x14ac:dyDescent="0.2">
      <c r="A16" s="2280"/>
      <c r="B16" s="2506"/>
      <c r="C16" s="1505" t="str">
        <f>OF!C31</f>
        <v>100 to 1000 hectares.</v>
      </c>
      <c r="D16" s="857">
        <f>OF!D31</f>
        <v>0</v>
      </c>
      <c r="E16" s="89">
        <v>6</v>
      </c>
      <c r="F16" s="79">
        <f t="shared" si="1"/>
        <v>0</v>
      </c>
      <c r="G16" s="211"/>
      <c r="H16" s="2266"/>
      <c r="I16" s="359"/>
    </row>
    <row r="17" spans="1:9" ht="17.25" thickBot="1" x14ac:dyDescent="0.25">
      <c r="A17" s="2281"/>
      <c r="B17" s="2507"/>
      <c r="C17" s="1506" t="str">
        <f>OF!C32</f>
        <v>&gt;1000 hectares. [This is nearly always the answer in relatively undeveloped landscapes.]</v>
      </c>
      <c r="D17" s="858">
        <f>OF!D32</f>
        <v>0</v>
      </c>
      <c r="E17" s="77">
        <v>8</v>
      </c>
      <c r="F17" s="77">
        <f t="shared" si="1"/>
        <v>0</v>
      </c>
      <c r="G17" s="193"/>
      <c r="H17" s="2267"/>
      <c r="I17" s="335"/>
    </row>
    <row r="18" spans="1:9" ht="39" thickBot="1" x14ac:dyDescent="0.25">
      <c r="A18" s="2514" t="str">
        <f>OF!A33</f>
        <v>OF5</v>
      </c>
      <c r="B18" s="2508"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v>
      </c>
      <c r="H18" s="2266" t="s">
        <v>2547</v>
      </c>
      <c r="I18" s="384" t="s">
        <v>2548</v>
      </c>
    </row>
    <row r="19" spans="1:9" ht="51" x14ac:dyDescent="0.2">
      <c r="A19" s="2280"/>
      <c r="B19" s="250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66"/>
      <c r="I19" s="359"/>
    </row>
    <row r="20" spans="1:9" ht="25.5" x14ac:dyDescent="0.2">
      <c r="A20" s="2280"/>
      <c r="B20" s="2506"/>
      <c r="C20" s="766" t="str">
        <f>OF!C35</f>
        <v>&lt;50 m, but completely separated from the 375-ha vegetated area by those features, and AA does not contain &gt;375 ha of vegetation.</v>
      </c>
      <c r="D20" s="399">
        <f>OF!D35</f>
        <v>0</v>
      </c>
      <c r="E20" s="75">
        <v>5</v>
      </c>
      <c r="F20" s="76">
        <f t="shared" si="2"/>
        <v>0</v>
      </c>
      <c r="G20" s="192"/>
      <c r="H20" s="2266"/>
      <c r="I20" s="359"/>
    </row>
    <row r="21" spans="1:9" x14ac:dyDescent="0.2">
      <c r="A21" s="2280"/>
      <c r="B21" s="2506"/>
      <c r="C21" s="766" t="str">
        <f>OF!C36</f>
        <v>50-500 m, and not separated.</v>
      </c>
      <c r="D21" s="399">
        <f>OF!D36</f>
        <v>0</v>
      </c>
      <c r="E21" s="75">
        <v>4</v>
      </c>
      <c r="F21" s="76">
        <f t="shared" si="2"/>
        <v>0</v>
      </c>
      <c r="G21" s="192"/>
      <c r="H21" s="2266"/>
      <c r="I21" s="359"/>
    </row>
    <row r="22" spans="1:9" x14ac:dyDescent="0.2">
      <c r="A22" s="2280"/>
      <c r="B22" s="2506"/>
      <c r="C22" s="766" t="str">
        <f>OF!C37</f>
        <v>50-500 m, but separated by those features.</v>
      </c>
      <c r="D22" s="399">
        <f>OF!D37</f>
        <v>0</v>
      </c>
      <c r="E22" s="75">
        <v>3</v>
      </c>
      <c r="F22" s="76">
        <f t="shared" si="2"/>
        <v>0</v>
      </c>
      <c r="G22" s="192"/>
      <c r="H22" s="2266"/>
      <c r="I22" s="359"/>
    </row>
    <row r="23" spans="1:9" x14ac:dyDescent="0.2">
      <c r="A23" s="2280"/>
      <c r="B23" s="2506"/>
      <c r="C23" s="766" t="str">
        <f>OF!C38</f>
        <v>0.5 - 5 km, and not separated.</v>
      </c>
      <c r="D23" s="399">
        <f>OF!D38</f>
        <v>0</v>
      </c>
      <c r="E23" s="75">
        <v>2</v>
      </c>
      <c r="F23" s="76">
        <f t="shared" si="2"/>
        <v>0</v>
      </c>
      <c r="G23" s="192"/>
      <c r="H23" s="2266"/>
      <c r="I23" s="359"/>
    </row>
    <row r="24" spans="1:9" x14ac:dyDescent="0.2">
      <c r="A24" s="2280"/>
      <c r="B24" s="2506"/>
      <c r="C24" s="766" t="str">
        <f>OF!C39</f>
        <v>0.5 - 5 km, but separated by those features.</v>
      </c>
      <c r="D24" s="399">
        <f>OF!D39</f>
        <v>0</v>
      </c>
      <c r="E24" s="76">
        <v>1</v>
      </c>
      <c r="F24" s="76">
        <f t="shared" si="2"/>
        <v>0</v>
      </c>
      <c r="G24" s="192"/>
      <c r="H24" s="2266"/>
      <c r="I24" s="359"/>
    </row>
    <row r="25" spans="1:9" ht="17.25" thickBot="1" x14ac:dyDescent="0.25">
      <c r="A25" s="2280"/>
      <c r="B25" s="2509"/>
      <c r="C25" s="1356" t="str">
        <f>OF!C40</f>
        <v>None of the above (the closest patches or corridors which are that large are &gt;5 km away).</v>
      </c>
      <c r="D25" s="411">
        <f>OF!D40</f>
        <v>0</v>
      </c>
      <c r="E25" s="79">
        <v>0</v>
      </c>
      <c r="F25" s="79">
        <f t="shared" si="2"/>
        <v>0</v>
      </c>
      <c r="G25" s="211"/>
      <c r="H25" s="2266"/>
      <c r="I25" s="335"/>
    </row>
    <row r="26" spans="1:9" ht="51.75" thickBot="1" x14ac:dyDescent="0.25">
      <c r="A26" s="2600"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v>
      </c>
      <c r="H26" s="2271" t="s">
        <v>2549</v>
      </c>
      <c r="I26" s="384" t="s">
        <v>2550</v>
      </c>
    </row>
    <row r="27" spans="1:9" s="203" customFormat="1" ht="12.75" x14ac:dyDescent="0.2">
      <c r="A27" s="2571"/>
      <c r="B27" s="2544"/>
      <c r="C27" s="150" t="str">
        <f>OF!C47</f>
        <v xml:space="preserve">&lt;5% of the land. </v>
      </c>
      <c r="D27" s="398">
        <f>OF!D47</f>
        <v>0</v>
      </c>
      <c r="E27" s="86">
        <v>0</v>
      </c>
      <c r="F27" s="76">
        <f>D27*E27</f>
        <v>0</v>
      </c>
      <c r="G27" s="191"/>
      <c r="H27" s="2266"/>
      <c r="I27" s="359"/>
    </row>
    <row r="28" spans="1:9" s="203" customFormat="1" ht="12.75" x14ac:dyDescent="0.2">
      <c r="A28" s="2571"/>
      <c r="B28" s="2544"/>
      <c r="C28" s="281" t="str">
        <f>OF!C48</f>
        <v>5 to 20% of the land.</v>
      </c>
      <c r="D28" s="399">
        <f>OF!D48</f>
        <v>0</v>
      </c>
      <c r="E28" s="86">
        <v>1</v>
      </c>
      <c r="F28" s="76">
        <f>D28*E28</f>
        <v>0</v>
      </c>
      <c r="G28" s="192"/>
      <c r="H28" s="2266"/>
      <c r="I28" s="359"/>
    </row>
    <row r="29" spans="1:9" s="203" customFormat="1" ht="12.75" x14ac:dyDescent="0.2">
      <c r="A29" s="2571"/>
      <c r="B29" s="2544"/>
      <c r="C29" s="281" t="str">
        <f>OF!C49</f>
        <v>20 to 60% of the land.</v>
      </c>
      <c r="D29" s="399">
        <f>OF!D49</f>
        <v>0</v>
      </c>
      <c r="E29" s="86">
        <v>2</v>
      </c>
      <c r="F29" s="76">
        <f>D29*E29</f>
        <v>0</v>
      </c>
      <c r="G29" s="192"/>
      <c r="H29" s="2266"/>
      <c r="I29" s="359"/>
    </row>
    <row r="30" spans="1:9" s="203" customFormat="1" ht="12.75" x14ac:dyDescent="0.2">
      <c r="A30" s="2571"/>
      <c r="B30" s="2544"/>
      <c r="C30" s="281" t="str">
        <f>OF!C50</f>
        <v>60 to 90% of the land.</v>
      </c>
      <c r="D30" s="399">
        <f>OF!D50</f>
        <v>0</v>
      </c>
      <c r="E30" s="86">
        <v>3</v>
      </c>
      <c r="F30" s="76">
        <f>D30*E30</f>
        <v>0</v>
      </c>
      <c r="G30" s="192"/>
      <c r="H30" s="2266"/>
      <c r="I30" s="359"/>
    </row>
    <row r="31" spans="1:9" s="203" customFormat="1" ht="13.5" thickBot="1" x14ac:dyDescent="0.25">
      <c r="A31" s="2599"/>
      <c r="B31" s="2545"/>
      <c r="C31" s="253" t="str">
        <f>OF!C51</f>
        <v xml:space="preserve">&gt;90% of the land. </v>
      </c>
      <c r="D31" s="480">
        <f>OF!D51</f>
        <v>0</v>
      </c>
      <c r="E31" s="87">
        <v>4</v>
      </c>
      <c r="F31" s="77">
        <f>D31*E31</f>
        <v>0</v>
      </c>
      <c r="G31" s="193"/>
      <c r="H31" s="2267"/>
      <c r="I31" s="335"/>
    </row>
    <row r="32" spans="1:9" ht="26.25" thickBot="1" x14ac:dyDescent="0.25">
      <c r="A32" s="2571" t="str">
        <f>OF!A53</f>
        <v>OF9</v>
      </c>
      <c r="B32" s="2508"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v>
      </c>
      <c r="H32" s="2266" t="s">
        <v>2551</v>
      </c>
      <c r="I32" s="384" t="s">
        <v>2552</v>
      </c>
    </row>
    <row r="33" spans="1:9" x14ac:dyDescent="0.2">
      <c r="A33" s="2571"/>
      <c r="B33" s="2506"/>
      <c r="C33" s="150" t="str">
        <f>OF!C54</f>
        <v>&lt;100 m.</v>
      </c>
      <c r="D33" s="398">
        <f>OF!D54</f>
        <v>0</v>
      </c>
      <c r="E33" s="76">
        <v>0</v>
      </c>
      <c r="F33" s="79">
        <f>D33*E33</f>
        <v>0</v>
      </c>
      <c r="G33" s="191"/>
      <c r="H33" s="2266"/>
      <c r="I33" s="359"/>
    </row>
    <row r="34" spans="1:9" x14ac:dyDescent="0.2">
      <c r="A34" s="2571"/>
      <c r="B34" s="2506"/>
      <c r="C34" s="281" t="str">
        <f>OF!C55</f>
        <v>100 - 500 m.</v>
      </c>
      <c r="D34" s="399">
        <f>OF!D55</f>
        <v>0</v>
      </c>
      <c r="E34" s="76">
        <v>2</v>
      </c>
      <c r="F34" s="79">
        <f>D34*E34</f>
        <v>0</v>
      </c>
      <c r="G34" s="192"/>
      <c r="H34" s="2266"/>
      <c r="I34" s="359"/>
    </row>
    <row r="35" spans="1:9" x14ac:dyDescent="0.2">
      <c r="A35" s="2571"/>
      <c r="B35" s="2506"/>
      <c r="C35" s="281" t="str">
        <f>OF!C56</f>
        <v>0.5- 1 km.</v>
      </c>
      <c r="D35" s="399">
        <f>OF!D56</f>
        <v>0</v>
      </c>
      <c r="E35" s="76">
        <v>3</v>
      </c>
      <c r="F35" s="79">
        <f>D35*E35</f>
        <v>0</v>
      </c>
      <c r="G35" s="192"/>
      <c r="H35" s="2266"/>
      <c r="I35" s="359"/>
    </row>
    <row r="36" spans="1:9" x14ac:dyDescent="0.2">
      <c r="A36" s="2571"/>
      <c r="B36" s="2506"/>
      <c r="C36" s="281" t="str">
        <f>OF!C57</f>
        <v>1 - 5 km.</v>
      </c>
      <c r="D36" s="399">
        <f>OF!D57</f>
        <v>0</v>
      </c>
      <c r="E36" s="76">
        <v>4</v>
      </c>
      <c r="F36" s="79">
        <f>D36*E36</f>
        <v>0</v>
      </c>
      <c r="G36" s="192"/>
      <c r="H36" s="2266"/>
      <c r="I36" s="359"/>
    </row>
    <row r="37" spans="1:9" ht="17.25" thickBot="1" x14ac:dyDescent="0.25">
      <c r="A37" s="2571"/>
      <c r="B37" s="2509"/>
      <c r="C37" s="151" t="str">
        <f>OF!C58</f>
        <v>&gt;5 km.</v>
      </c>
      <c r="D37" s="411">
        <f>OF!D58</f>
        <v>0</v>
      </c>
      <c r="E37" s="79">
        <v>6</v>
      </c>
      <c r="F37" s="79">
        <f>D37*E37</f>
        <v>0</v>
      </c>
      <c r="G37" s="211"/>
      <c r="H37" s="2266"/>
      <c r="I37" s="335"/>
    </row>
    <row r="38" spans="1:9" ht="26.25" thickBot="1" x14ac:dyDescent="0.25">
      <c r="A38" s="2746" t="str">
        <f>OF!A65</f>
        <v>OF11</v>
      </c>
      <c r="B38" s="2543" t="str">
        <f>OF!B65</f>
        <v>Distance to Nearest Maintained Road [NRb, FAb, FRb, AM, WBN, RSB, PH, CRI, STR]</v>
      </c>
      <c r="C38" s="63" t="str">
        <f>OF!C65</f>
        <v>From the center of the AA, the distance to the nearest maintained public road (dirt or paved) is:</v>
      </c>
      <c r="D38" s="574"/>
      <c r="E38" s="80"/>
      <c r="F38" s="81"/>
      <c r="G38" s="165">
        <f>MAX(F39:F44)/MAX(E39:E44)</f>
        <v>0</v>
      </c>
      <c r="H38" s="2271" t="s">
        <v>2553</v>
      </c>
      <c r="I38" s="384" t="s">
        <v>2554</v>
      </c>
    </row>
    <row r="39" spans="1:9" x14ac:dyDescent="0.2">
      <c r="A39" s="2747"/>
      <c r="B39" s="2544"/>
      <c r="C39" s="150" t="str">
        <f>OF!C66</f>
        <v>&lt;10 m.</v>
      </c>
      <c r="D39" s="398">
        <f>OF!D66</f>
        <v>0</v>
      </c>
      <c r="E39" s="76">
        <v>0</v>
      </c>
      <c r="F39" s="76">
        <f t="shared" ref="F39:F44" si="3">D39*E39</f>
        <v>0</v>
      </c>
      <c r="G39" s="191"/>
      <c r="H39" s="2266"/>
      <c r="I39" s="359"/>
    </row>
    <row r="40" spans="1:9" x14ac:dyDescent="0.2">
      <c r="A40" s="2747"/>
      <c r="B40" s="2544"/>
      <c r="C40" s="281" t="str">
        <f>OF!C67</f>
        <v>10 - 25 m.</v>
      </c>
      <c r="D40" s="399">
        <f>OF!D67</f>
        <v>0</v>
      </c>
      <c r="E40" s="76">
        <v>4</v>
      </c>
      <c r="F40" s="76">
        <f t="shared" si="3"/>
        <v>0</v>
      </c>
      <c r="G40" s="192"/>
      <c r="H40" s="2266"/>
      <c r="I40" s="359"/>
    </row>
    <row r="41" spans="1:9" x14ac:dyDescent="0.2">
      <c r="A41" s="2747"/>
      <c r="B41" s="2544"/>
      <c r="C41" s="281" t="str">
        <f>OF!C68</f>
        <v>25 - 50 m.</v>
      </c>
      <c r="D41" s="399">
        <f>OF!D68</f>
        <v>0</v>
      </c>
      <c r="E41" s="76">
        <v>5</v>
      </c>
      <c r="F41" s="76">
        <f t="shared" si="3"/>
        <v>0</v>
      </c>
      <c r="G41" s="192"/>
      <c r="H41" s="2266"/>
      <c r="I41" s="359"/>
    </row>
    <row r="42" spans="1:9" x14ac:dyDescent="0.2">
      <c r="A42" s="2747"/>
      <c r="B42" s="2544"/>
      <c r="C42" s="281" t="str">
        <f>OF!C69</f>
        <v>50 - 100 m.</v>
      </c>
      <c r="D42" s="399">
        <f>OF!D69</f>
        <v>0</v>
      </c>
      <c r="E42" s="76">
        <v>5</v>
      </c>
      <c r="F42" s="76">
        <f t="shared" si="3"/>
        <v>0</v>
      </c>
      <c r="G42" s="192"/>
      <c r="H42" s="2266"/>
      <c r="I42" s="359"/>
    </row>
    <row r="43" spans="1:9" x14ac:dyDescent="0.2">
      <c r="A43" s="2747"/>
      <c r="B43" s="2544"/>
      <c r="C43" s="281" t="str">
        <f>OF!C70</f>
        <v>100 - 500 m.</v>
      </c>
      <c r="D43" s="399">
        <f>OF!D70</f>
        <v>0</v>
      </c>
      <c r="E43" s="76">
        <v>5</v>
      </c>
      <c r="F43" s="76">
        <f t="shared" si="3"/>
        <v>0</v>
      </c>
      <c r="G43" s="192"/>
      <c r="H43" s="2266"/>
      <c r="I43" s="359"/>
    </row>
    <row r="44" spans="1:9" ht="17.25" thickBot="1" x14ac:dyDescent="0.25">
      <c r="A44" s="2748"/>
      <c r="B44" s="2545"/>
      <c r="C44" s="249" t="str">
        <f>OF!C71</f>
        <v>&gt;500 m.</v>
      </c>
      <c r="D44" s="400">
        <f>OF!D71</f>
        <v>0</v>
      </c>
      <c r="E44" s="77">
        <v>6</v>
      </c>
      <c r="F44" s="77">
        <f t="shared" si="3"/>
        <v>0</v>
      </c>
      <c r="G44" s="193"/>
      <c r="H44" s="2267"/>
      <c r="I44" s="335"/>
    </row>
    <row r="45" spans="1:9" ht="26.25" thickBot="1" x14ac:dyDescent="0.25">
      <c r="A45" s="2740" t="str">
        <f>OF!A74</f>
        <v>OF13</v>
      </c>
      <c r="B45" s="2588"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v>
      </c>
      <c r="H45" s="2266" t="s">
        <v>2555</v>
      </c>
      <c r="I45" s="384" t="s">
        <v>2556</v>
      </c>
    </row>
    <row r="46" spans="1:9" ht="25.5" x14ac:dyDescent="0.2">
      <c r="A46" s="2571"/>
      <c r="B46" s="2544"/>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66"/>
      <c r="I46" s="359"/>
    </row>
    <row r="47" spans="1:9" x14ac:dyDescent="0.2">
      <c r="A47" s="2571"/>
      <c r="B47" s="2544"/>
      <c r="C47" s="150" t="str">
        <f>OF!C76</f>
        <v>&lt;50 m, but completely separated by those features.</v>
      </c>
      <c r="D47" s="398">
        <f>OF!D76</f>
        <v>0</v>
      </c>
      <c r="E47" s="76">
        <v>5</v>
      </c>
      <c r="F47" s="76">
        <f t="shared" si="4"/>
        <v>0</v>
      </c>
      <c r="G47" s="192"/>
      <c r="H47" s="2266"/>
      <c r="I47" s="359"/>
    </row>
    <row r="48" spans="1:9" x14ac:dyDescent="0.2">
      <c r="A48" s="2571"/>
      <c r="B48" s="2544"/>
      <c r="C48" s="150" t="str">
        <f>OF!C77</f>
        <v>50-500 m, and not separated.</v>
      </c>
      <c r="D48" s="398">
        <f>OF!D77</f>
        <v>0</v>
      </c>
      <c r="E48" s="76">
        <v>4</v>
      </c>
      <c r="F48" s="76">
        <f t="shared" si="4"/>
        <v>0</v>
      </c>
      <c r="G48" s="192"/>
      <c r="H48" s="2266"/>
      <c r="I48" s="359"/>
    </row>
    <row r="49" spans="1:9" x14ac:dyDescent="0.2">
      <c r="A49" s="2571"/>
      <c r="B49" s="2544"/>
      <c r="C49" s="150" t="str">
        <f>OF!C78</f>
        <v>50-500 m, but separated by those features.</v>
      </c>
      <c r="D49" s="398">
        <f>OF!D78</f>
        <v>0</v>
      </c>
      <c r="E49" s="76">
        <v>3</v>
      </c>
      <c r="F49" s="76">
        <f t="shared" si="4"/>
        <v>0</v>
      </c>
      <c r="G49" s="192"/>
      <c r="H49" s="2266"/>
      <c r="I49" s="359"/>
    </row>
    <row r="50" spans="1:9" x14ac:dyDescent="0.2">
      <c r="A50" s="2571"/>
      <c r="B50" s="2544"/>
      <c r="C50" s="150" t="str">
        <f>OF!C79</f>
        <v>0.5 - 1 km, and not separated.</v>
      </c>
      <c r="D50" s="398">
        <f>OF!D79</f>
        <v>0</v>
      </c>
      <c r="E50" s="76">
        <v>2</v>
      </c>
      <c r="F50" s="76">
        <f t="shared" si="4"/>
        <v>0</v>
      </c>
      <c r="G50" s="192"/>
      <c r="H50" s="2266"/>
      <c r="I50" s="359"/>
    </row>
    <row r="51" spans="1:9" x14ac:dyDescent="0.2">
      <c r="A51" s="2571"/>
      <c r="B51" s="2544"/>
      <c r="C51" s="150" t="str">
        <f>OF!C80</f>
        <v>0.5 - 1 km, but separated by those features.</v>
      </c>
      <c r="D51" s="398">
        <f>OF!D80</f>
        <v>0</v>
      </c>
      <c r="E51" s="79">
        <v>1</v>
      </c>
      <c r="F51" s="79">
        <f t="shared" si="4"/>
        <v>0</v>
      </c>
      <c r="G51" s="211"/>
      <c r="H51" s="2266"/>
      <c r="I51" s="359"/>
    </row>
    <row r="52" spans="1:9" ht="17.25" thickBot="1" x14ac:dyDescent="0.25">
      <c r="A52" s="2571"/>
      <c r="B52" s="2589"/>
      <c r="C52" s="2" t="str">
        <f>OF!C81</f>
        <v>None of the above (the closest patches or corridors that large are &gt;1 km away).</v>
      </c>
      <c r="D52" s="402">
        <f>OF!D81</f>
        <v>0</v>
      </c>
      <c r="E52" s="79">
        <v>0</v>
      </c>
      <c r="F52" s="79">
        <f t="shared" si="4"/>
        <v>0</v>
      </c>
      <c r="G52" s="211"/>
      <c r="H52" s="2266"/>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0</v>
      </c>
      <c r="E55" s="158"/>
      <c r="F55" s="72"/>
      <c r="G55" s="576" t="str">
        <f>IF((SUM(F!D20:'F'!D23)=0),"",D55/6)</f>
        <v/>
      </c>
      <c r="H55" s="289" t="s">
        <v>8679</v>
      </c>
      <c r="I55" s="265" t="s">
        <v>2560</v>
      </c>
    </row>
    <row r="56" spans="1:9" s="3" customFormat="1" ht="39" thickBot="1" x14ac:dyDescent="0.25">
      <c r="A56" s="2575" t="str">
        <f>F!A28</f>
        <v>F4</v>
      </c>
      <c r="B56" s="2543"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t="str">
        <f>IF((SUM(D57:D59)=0),"",MAX(F57:F59)/MAX(E57:E59))</f>
        <v/>
      </c>
      <c r="H56" s="2271" t="s">
        <v>2561</v>
      </c>
      <c r="I56" s="384" t="s">
        <v>2562</v>
      </c>
    </row>
    <row r="57" spans="1:9" s="3" customFormat="1" ht="25.5" x14ac:dyDescent="0.2">
      <c r="A57" s="2377"/>
      <c r="B57" s="2544"/>
      <c r="C57" s="281" t="str">
        <f>F!C29</f>
        <v>Those 2 genera together comprise &gt; 80% of woody cover shorter than 5 ft. Low woody cover is monotypic or nearly so.</v>
      </c>
      <c r="D57" s="558">
        <f>F!D29</f>
        <v>0</v>
      </c>
      <c r="E57" s="75">
        <v>0</v>
      </c>
      <c r="F57" s="26">
        <f>D57*E57</f>
        <v>0</v>
      </c>
      <c r="G57" s="191"/>
      <c r="H57" s="2266"/>
      <c r="I57" s="359"/>
    </row>
    <row r="58" spans="1:9" s="3" customFormat="1" ht="12.75" x14ac:dyDescent="0.2">
      <c r="A58" s="2377"/>
      <c r="B58" s="2544"/>
      <c r="C58" s="281" t="str">
        <f>F!C30</f>
        <v xml:space="preserve">Those 2 genera together comprise 50-80% of low woody cover.  </v>
      </c>
      <c r="D58" s="558">
        <f>F!D30</f>
        <v>0</v>
      </c>
      <c r="E58" s="26">
        <v>1</v>
      </c>
      <c r="F58" s="26">
        <f>D58*E58</f>
        <v>0</v>
      </c>
      <c r="G58" s="191"/>
      <c r="H58" s="2266"/>
      <c r="I58" s="359"/>
    </row>
    <row r="59" spans="1:9" s="3" customFormat="1" ht="26.25" thickBot="1" x14ac:dyDescent="0.25">
      <c r="A59" s="2378"/>
      <c r="B59" s="2545"/>
      <c r="C59" s="249" t="str">
        <f>F!C31</f>
        <v>No 2 genera together comprise &gt; 50% of low woody cover.  Several low woody genera are significantly present.</v>
      </c>
      <c r="D59" s="794">
        <f>F!D31</f>
        <v>0</v>
      </c>
      <c r="E59" s="67">
        <v>3</v>
      </c>
      <c r="F59" s="67">
        <f>D59*E59</f>
        <v>0</v>
      </c>
      <c r="G59" s="193"/>
      <c r="H59" s="2267"/>
      <c r="I59" s="335"/>
    </row>
    <row r="60" spans="1:9" ht="17.25" thickBot="1" x14ac:dyDescent="0.25">
      <c r="A60" s="2262" t="str">
        <f>F!A42</f>
        <v>F6</v>
      </c>
      <c r="B60" s="2508" t="str">
        <f>F!B42</f>
        <v>Height Class Interspersion [NR, AM, RSB, KMH, PH, Sens]</v>
      </c>
      <c r="C60" s="711" t="str">
        <f>F!C42</f>
        <v>Follow the key below and mark the ONE row that best describes MOST of the AA:</v>
      </c>
      <c r="D60" s="802"/>
      <c r="E60" s="75"/>
      <c r="F60" s="28"/>
      <c r="G60" s="348">
        <f>MAX(F62:F66)/MAX(E62:E66)</f>
        <v>0</v>
      </c>
      <c r="H60" s="2266" t="s">
        <v>8954</v>
      </c>
      <c r="I60" s="384" t="s">
        <v>2563</v>
      </c>
    </row>
    <row r="61" spans="1:9" ht="38.25" x14ac:dyDescent="0.2">
      <c r="A61" s="2262"/>
      <c r="B61" s="250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66"/>
      <c r="I61" s="359"/>
    </row>
    <row r="62" spans="1:9" x14ac:dyDescent="0.2">
      <c r="A62" s="2262"/>
      <c r="B62" s="2506"/>
      <c r="C62" s="727" t="str">
        <f>F!C44</f>
        <v>A1. The two height classes are mostly scattered and intermixed throughout the AA.</v>
      </c>
      <c r="D62" s="401">
        <f>F!D44</f>
        <v>0</v>
      </c>
      <c r="E62" s="26">
        <v>3</v>
      </c>
      <c r="F62" s="26">
        <f>D62*E62</f>
        <v>0</v>
      </c>
      <c r="G62" s="192"/>
      <c r="H62" s="2266"/>
      <c r="I62" s="359"/>
    </row>
    <row r="63" spans="1:9" ht="25.5" x14ac:dyDescent="0.2">
      <c r="A63" s="2262"/>
      <c r="B63" s="2506"/>
      <c r="C63" s="766" t="str">
        <f>F!C45</f>
        <v>A2. Not A1.  The two height classes are mostly in separate zones or bands, or in proportionately large clumps.</v>
      </c>
      <c r="D63" s="558">
        <f>F!D45</f>
        <v>0</v>
      </c>
      <c r="E63" s="26">
        <v>2</v>
      </c>
      <c r="F63" s="26">
        <f>D63*E63</f>
        <v>0</v>
      </c>
      <c r="G63" s="192"/>
      <c r="H63" s="2266"/>
      <c r="I63" s="359"/>
    </row>
    <row r="64" spans="1:9" ht="38.25" x14ac:dyDescent="0.2">
      <c r="A64" s="2262"/>
      <c r="B64" s="250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266"/>
      <c r="I64" s="359"/>
    </row>
    <row r="65" spans="1:9" ht="25.5" x14ac:dyDescent="0.2">
      <c r="A65" s="2262"/>
      <c r="B65" s="2506"/>
      <c r="C65" s="766" t="str">
        <f>F!C47</f>
        <v>B1. The less prevalent height class is mostly scattered and intermixed within the prevalent one.</v>
      </c>
      <c r="D65" s="558">
        <f>F!D47</f>
        <v>0</v>
      </c>
      <c r="E65" s="26">
        <v>1</v>
      </c>
      <c r="F65" s="26">
        <f>D65*E65</f>
        <v>0</v>
      </c>
      <c r="G65" s="192"/>
      <c r="H65" s="2266"/>
      <c r="I65" s="359"/>
    </row>
    <row r="66" spans="1:9" ht="26.25" thickBot="1" x14ac:dyDescent="0.25">
      <c r="A66" s="2262"/>
      <c r="B66" s="2509"/>
      <c r="C66" s="1356" t="str">
        <f>F!C48</f>
        <v>B2. Not B1.  The less prevalent height class is mostly located apart from the prevalent one, in separate zones or clumps, or is completely absent.</v>
      </c>
      <c r="D66" s="557">
        <f>F!D48</f>
        <v>0</v>
      </c>
      <c r="E66" s="25">
        <v>0</v>
      </c>
      <c r="F66" s="25">
        <f>D66*E66</f>
        <v>0</v>
      </c>
      <c r="G66" s="211"/>
      <c r="H66" s="2266"/>
      <c r="I66" s="359"/>
    </row>
    <row r="67" spans="1:9" ht="26.25" thickBot="1" x14ac:dyDescent="0.25">
      <c r="A67" s="2379" t="str">
        <f>F!A56</f>
        <v>F8</v>
      </c>
      <c r="B67" s="2246"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v>
      </c>
      <c r="H67" s="2271" t="s">
        <v>8588</v>
      </c>
      <c r="I67" s="384" t="s">
        <v>8587</v>
      </c>
    </row>
    <row r="68" spans="1:9" x14ac:dyDescent="0.2">
      <c r="A68" s="2380"/>
      <c r="B68" s="2247"/>
      <c r="C68" s="303" t="str">
        <f>F!C57</f>
        <v xml:space="preserve">&lt;5% of the herbaceous part of the AA. </v>
      </c>
      <c r="D68" s="558">
        <f>F!D57</f>
        <v>0</v>
      </c>
      <c r="E68" s="1886">
        <v>0</v>
      </c>
      <c r="F68" s="26">
        <f t="shared" ref="F68:F72" si="5">D68*E68</f>
        <v>0</v>
      </c>
      <c r="G68" s="191"/>
      <c r="H68" s="2266"/>
      <c r="I68" s="359"/>
    </row>
    <row r="69" spans="1:9" x14ac:dyDescent="0.2">
      <c r="A69" s="2380"/>
      <c r="B69" s="2247"/>
      <c r="C69" s="303" t="str">
        <f>F!C58</f>
        <v>5-25% of the herbaceous part of the AA.</v>
      </c>
      <c r="D69" s="558">
        <f>F!D58</f>
        <v>0</v>
      </c>
      <c r="E69" s="1886">
        <v>3</v>
      </c>
      <c r="F69" s="26">
        <f t="shared" si="5"/>
        <v>0</v>
      </c>
      <c r="G69" s="192"/>
      <c r="H69" s="2266"/>
      <c r="I69" s="359"/>
    </row>
    <row r="70" spans="1:9" x14ac:dyDescent="0.2">
      <c r="A70" s="2380"/>
      <c r="B70" s="2247"/>
      <c r="C70" s="303" t="str">
        <f>F!C59</f>
        <v>25-50% of the herbaceous part of the AA.</v>
      </c>
      <c r="D70" s="558">
        <f>F!D59</f>
        <v>0</v>
      </c>
      <c r="E70" s="1886">
        <v>2</v>
      </c>
      <c r="F70" s="26">
        <f t="shared" si="5"/>
        <v>0</v>
      </c>
      <c r="G70" s="192"/>
      <c r="H70" s="2266"/>
      <c r="I70" s="359"/>
    </row>
    <row r="71" spans="1:9" x14ac:dyDescent="0.2">
      <c r="A71" s="2380"/>
      <c r="B71" s="2247"/>
      <c r="C71" s="303" t="str">
        <f>F!C60</f>
        <v>50-95% of the herbaceous part of the AA.</v>
      </c>
      <c r="D71" s="558">
        <f>F!D60</f>
        <v>0</v>
      </c>
      <c r="E71" s="1886">
        <v>1</v>
      </c>
      <c r="F71" s="26">
        <f t="shared" si="5"/>
        <v>0</v>
      </c>
      <c r="G71" s="192"/>
      <c r="H71" s="2266"/>
      <c r="I71" s="359"/>
    </row>
    <row r="72" spans="1:9" ht="17.25" thickBot="1" x14ac:dyDescent="0.25">
      <c r="A72" s="2381"/>
      <c r="B72" s="2248"/>
      <c r="C72" s="571" t="str">
        <f>F!C61</f>
        <v>&gt;95% of the herbaceous part of the AA.</v>
      </c>
      <c r="D72" s="794">
        <f>F!D61</f>
        <v>0</v>
      </c>
      <c r="E72" s="1887">
        <v>0</v>
      </c>
      <c r="F72" s="67">
        <f t="shared" si="5"/>
        <v>0</v>
      </c>
      <c r="G72" s="193"/>
      <c r="H72" s="2267"/>
      <c r="I72" s="335"/>
    </row>
    <row r="73" spans="1:9" ht="39" thickBot="1" x14ac:dyDescent="0.25">
      <c r="A73" s="2377" t="str">
        <f>F!A69</f>
        <v>F10</v>
      </c>
      <c r="B73" s="2588"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266" t="s">
        <v>2564</v>
      </c>
      <c r="I73" s="359" t="s">
        <v>2565</v>
      </c>
    </row>
    <row r="74" spans="1:9" ht="25.5" x14ac:dyDescent="0.2">
      <c r="A74" s="2377"/>
      <c r="B74" s="2544"/>
      <c r="C74" s="150" t="str">
        <f>F!C70</f>
        <v>those species together comprise &gt; 50% of the areal cover of herbaceous plants at any time during the year.</v>
      </c>
      <c r="D74" s="401">
        <f>F!D70</f>
        <v>0</v>
      </c>
      <c r="E74" s="26">
        <v>0</v>
      </c>
      <c r="F74" s="26">
        <f>D74*E74</f>
        <v>0</v>
      </c>
      <c r="G74" s="192"/>
      <c r="H74" s="2266"/>
      <c r="I74" s="359"/>
    </row>
    <row r="75" spans="1:9" ht="26.25" thickBot="1" x14ac:dyDescent="0.25">
      <c r="A75" s="2378"/>
      <c r="B75" s="2545"/>
      <c r="C75" s="249" t="str">
        <f>F!C71</f>
        <v>those species together do not comprise &gt; 50% of the areal cover of herbaceous plants at any time during the year.</v>
      </c>
      <c r="D75" s="794">
        <f>F!D71</f>
        <v>0</v>
      </c>
      <c r="E75" s="67">
        <v>1</v>
      </c>
      <c r="F75" s="67">
        <f>D75*E75</f>
        <v>0</v>
      </c>
      <c r="G75" s="193"/>
      <c r="H75" s="2267"/>
      <c r="I75" s="335"/>
    </row>
    <row r="76" spans="1:9" ht="26.25" thickBot="1" x14ac:dyDescent="0.25">
      <c r="A76" s="2587" t="str">
        <f>F!A72</f>
        <v>F11</v>
      </c>
      <c r="B76" s="2588" t="str">
        <f>F!B72</f>
        <v>Invasive Plant Cover [PH, Sens]</v>
      </c>
      <c r="C76" s="253" t="str">
        <f>F!C72</f>
        <v>How extensive is the cover of invasive plant species in the AA?  For species, see Plants_invasive worksheet (tab).</v>
      </c>
      <c r="D76" s="802"/>
      <c r="E76" s="75"/>
      <c r="F76" s="72"/>
      <c r="G76" s="348">
        <f>MAX(F77:F81)/MAX(E77:E81)</f>
        <v>0</v>
      </c>
      <c r="H76" s="2266" t="s">
        <v>2566</v>
      </c>
      <c r="I76" s="384" t="s">
        <v>2567</v>
      </c>
    </row>
    <row r="77" spans="1:9" ht="25.5" x14ac:dyDescent="0.2">
      <c r="A77" s="2587"/>
      <c r="B77" s="2544"/>
      <c r="C77" s="150" t="str">
        <f>F!C73</f>
        <v>invasive species appear to be absent in the AA, or are present only in trace amount (a few individuals).</v>
      </c>
      <c r="D77" s="401">
        <f>F!D73</f>
        <v>0</v>
      </c>
      <c r="E77" s="76">
        <v>4</v>
      </c>
      <c r="F77" s="26">
        <f>D77*E77</f>
        <v>0</v>
      </c>
      <c r="G77" s="191" t="s">
        <v>1406</v>
      </c>
      <c r="H77" s="2266"/>
      <c r="I77" s="359"/>
    </row>
    <row r="78" spans="1:9" ht="25.5" x14ac:dyDescent="0.2">
      <c r="A78" s="2587"/>
      <c r="B78" s="2544"/>
      <c r="C78" s="281" t="str">
        <f>F!C74</f>
        <v>invasive species are present in more than trace amounts, but comprise &lt;5% of herbaceous cover (or woody cover, if the invasives are woody).</v>
      </c>
      <c r="D78" s="558">
        <f>F!D74</f>
        <v>0</v>
      </c>
      <c r="E78" s="76">
        <v>3</v>
      </c>
      <c r="F78" s="26">
        <f>D78*E78</f>
        <v>0</v>
      </c>
      <c r="G78" s="191"/>
      <c r="H78" s="2266"/>
      <c r="I78" s="359"/>
    </row>
    <row r="79" spans="1:9" ht="25.5" x14ac:dyDescent="0.2">
      <c r="A79" s="2587"/>
      <c r="B79" s="2544"/>
      <c r="C79" s="281" t="str">
        <f>F!C75</f>
        <v>invasive species comprise 5-20% of the herb cover (or woody cover, if the invasives are woody).</v>
      </c>
      <c r="D79" s="558">
        <f>F!D75</f>
        <v>0</v>
      </c>
      <c r="E79" s="26">
        <v>2</v>
      </c>
      <c r="F79" s="26">
        <f>D79*E79</f>
        <v>0</v>
      </c>
      <c r="G79" s="192"/>
      <c r="H79" s="2266"/>
      <c r="I79" s="359"/>
    </row>
    <row r="80" spans="1:9" ht="25.5" x14ac:dyDescent="0.2">
      <c r="A80" s="2587"/>
      <c r="B80" s="2544"/>
      <c r="C80" s="281" t="str">
        <f>F!C76</f>
        <v>invasive species comprise 20-50% of the herb cover  (or woody cover, if the invasives are woody).</v>
      </c>
      <c r="D80" s="558">
        <f>F!D76</f>
        <v>0</v>
      </c>
      <c r="E80" s="26">
        <v>1</v>
      </c>
      <c r="F80" s="26">
        <f>D80*E80</f>
        <v>0</v>
      </c>
      <c r="G80" s="192"/>
      <c r="H80" s="2266"/>
      <c r="I80" s="359"/>
    </row>
    <row r="81" spans="1:9" ht="26.25" thickBot="1" x14ac:dyDescent="0.25">
      <c r="A81" s="2587"/>
      <c r="B81" s="2589"/>
      <c r="C81" s="151" t="str">
        <f>F!C77</f>
        <v>invasive species comprise &gt;50% of the herb cover  (or woody cover, if the invasives are woody).</v>
      </c>
      <c r="D81" s="557">
        <f>F!D77</f>
        <v>0</v>
      </c>
      <c r="E81" s="25">
        <v>0</v>
      </c>
      <c r="F81" s="366">
        <f>D81*E81</f>
        <v>0</v>
      </c>
      <c r="G81" s="238"/>
      <c r="H81" s="2266"/>
      <c r="I81" s="335"/>
    </row>
    <row r="82" spans="1:9" ht="26.25" thickBot="1" x14ac:dyDescent="0.25">
      <c r="A82" s="2575" t="str">
        <f>F!A79</f>
        <v>F12</v>
      </c>
      <c r="B82" s="2543"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271" t="s">
        <v>2568</v>
      </c>
      <c r="I82" s="384" t="s">
        <v>2569</v>
      </c>
    </row>
    <row r="83" spans="1:9" x14ac:dyDescent="0.2">
      <c r="A83" s="2377"/>
      <c r="B83" s="2544"/>
      <c r="C83" s="150" t="str">
        <f>F!C80</f>
        <v>none of the upland edge (invasives apparently absent), or AA has no upland edge.</v>
      </c>
      <c r="D83" s="401">
        <f>F!D80</f>
        <v>0</v>
      </c>
      <c r="E83" s="76">
        <v>4</v>
      </c>
      <c r="F83" s="76">
        <f>D83*E83</f>
        <v>0</v>
      </c>
      <c r="G83" s="191"/>
      <c r="H83" s="2266"/>
      <c r="I83" s="359"/>
    </row>
    <row r="84" spans="1:9" x14ac:dyDescent="0.2">
      <c r="A84" s="2377"/>
      <c r="B84" s="2544"/>
      <c r="C84" s="281" t="str">
        <f>F!C81</f>
        <v>some (but &lt;5%) of the upland edge.</v>
      </c>
      <c r="D84" s="558">
        <f>F!D81</f>
        <v>0</v>
      </c>
      <c r="E84" s="76">
        <v>3</v>
      </c>
      <c r="F84" s="76">
        <f>D84*E84</f>
        <v>0</v>
      </c>
      <c r="G84" s="192"/>
      <c r="H84" s="2266"/>
      <c r="I84" s="359"/>
    </row>
    <row r="85" spans="1:9" x14ac:dyDescent="0.2">
      <c r="A85" s="2377"/>
      <c r="B85" s="2544"/>
      <c r="C85" s="281" t="str">
        <f>F!C82</f>
        <v>5-50% of the upland edge.</v>
      </c>
      <c r="D85" s="558">
        <f>F!D82</f>
        <v>0</v>
      </c>
      <c r="E85" s="76">
        <v>2</v>
      </c>
      <c r="F85" s="76">
        <f>D85*E85</f>
        <v>0</v>
      </c>
      <c r="G85" s="192"/>
      <c r="H85" s="2266"/>
      <c r="I85" s="359"/>
    </row>
    <row r="86" spans="1:9" ht="17.25" thickBot="1" x14ac:dyDescent="0.25">
      <c r="A86" s="2378"/>
      <c r="B86" s="2545"/>
      <c r="C86" s="249" t="str">
        <f>F!C83</f>
        <v>most (&gt;50%) of the upland edge.</v>
      </c>
      <c r="D86" s="794">
        <f>F!D83</f>
        <v>0</v>
      </c>
      <c r="E86" s="77">
        <v>0</v>
      </c>
      <c r="F86" s="77">
        <f>D86*E86</f>
        <v>0</v>
      </c>
      <c r="G86" s="193"/>
      <c r="H86" s="2267"/>
      <c r="I86" s="335"/>
    </row>
    <row r="87" spans="1:9" ht="64.5" thickBot="1" x14ac:dyDescent="0.25">
      <c r="A87" s="2262" t="str">
        <f>F!A124</f>
        <v>F20</v>
      </c>
      <c r="B87" s="2508"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266" t="s">
        <v>2570</v>
      </c>
      <c r="I87" s="384" t="s">
        <v>2571</v>
      </c>
    </row>
    <row r="88" spans="1:9" ht="25.5" x14ac:dyDescent="0.2">
      <c r="A88" s="2262"/>
      <c r="B88" s="2506"/>
      <c r="C88" s="281" t="str">
        <f>F!C125</f>
        <v>Few or none (minimal microtopography; &lt;1% of the land has such features, or entire AA is always water-covered).</v>
      </c>
      <c r="D88" s="558">
        <f>F!D125</f>
        <v>0</v>
      </c>
      <c r="E88" s="76">
        <v>0</v>
      </c>
      <c r="F88" s="26">
        <f>D88*E88</f>
        <v>0</v>
      </c>
      <c r="G88" s="191"/>
      <c r="H88" s="2266"/>
      <c r="I88" s="359"/>
    </row>
    <row r="89" spans="1:9" x14ac:dyDescent="0.2">
      <c r="A89" s="2262"/>
      <c r="B89" s="2506"/>
      <c r="C89" s="281" t="str">
        <f>F!C126</f>
        <v>Intermediate.</v>
      </c>
      <c r="D89" s="558">
        <f>F!D126</f>
        <v>0</v>
      </c>
      <c r="E89" s="76">
        <v>1</v>
      </c>
      <c r="F89" s="26">
        <f>D89*E89</f>
        <v>0</v>
      </c>
      <c r="G89" s="192"/>
      <c r="H89" s="2266"/>
      <c r="I89" s="359"/>
    </row>
    <row r="90" spans="1:9" ht="17.25" thickBot="1" x14ac:dyDescent="0.25">
      <c r="A90" s="2262"/>
      <c r="B90" s="2509"/>
      <c r="C90" s="151" t="str">
        <f>F!C127</f>
        <v>Several (extensive micro-topography).</v>
      </c>
      <c r="D90" s="557">
        <f>F!D127</f>
        <v>0</v>
      </c>
      <c r="E90" s="79">
        <v>2</v>
      </c>
      <c r="F90" s="25">
        <f>D90*E90</f>
        <v>0</v>
      </c>
      <c r="G90" s="211"/>
      <c r="H90" s="2266"/>
      <c r="I90" s="335"/>
    </row>
    <row r="91" spans="1:9" ht="26.25" thickBot="1" x14ac:dyDescent="0.25">
      <c r="A91" s="2575" t="str">
        <f>F!A128</f>
        <v>F21</v>
      </c>
      <c r="B91" s="2543" t="str">
        <f>F!B128</f>
        <v>Soil Texture [WS, SFTS, PR, NR,WFR, CSP, CC, APP, PH, Sens]</v>
      </c>
      <c r="C91" s="853" t="str">
        <f>F!C128</f>
        <v>In parts of the AA that lack persistent water, the texture of soil in the uppermost (&lt;20 cm) layer is mostly:</v>
      </c>
      <c r="D91" s="801"/>
      <c r="E91" s="80"/>
      <c r="F91" s="66"/>
      <c r="G91" s="165">
        <f>MAX(F92:F96)/MAX(E92:E96)</f>
        <v>0</v>
      </c>
      <c r="H91" s="2271" t="s">
        <v>2572</v>
      </c>
      <c r="I91" s="384" t="s">
        <v>2573</v>
      </c>
    </row>
    <row r="92" spans="1:9" ht="25.5" x14ac:dyDescent="0.2">
      <c r="A92" s="2377"/>
      <c r="B92" s="2544"/>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266"/>
      <c r="I92" s="359"/>
    </row>
    <row r="93" spans="1:9" ht="25.5" x14ac:dyDescent="0.2">
      <c r="A93" s="2377"/>
      <c r="B93" s="2544"/>
      <c r="C93" s="281" t="str">
        <f>F!C130</f>
        <v>Fines: includes silt, clay, silt, soils that make a ribbon longer than 2 cm when moistened, rolled, squeezed, and extended between thumb and forefinger.</v>
      </c>
      <c r="D93" s="558">
        <f>F!D130</f>
        <v>0</v>
      </c>
      <c r="E93" s="76">
        <v>1</v>
      </c>
      <c r="F93" s="26">
        <f>D93*E93</f>
        <v>0</v>
      </c>
      <c r="G93" s="192"/>
      <c r="H93" s="2266"/>
      <c r="I93" s="359"/>
    </row>
    <row r="94" spans="1:9" x14ac:dyDescent="0.2">
      <c r="A94" s="2377"/>
      <c r="B94" s="2544"/>
      <c r="C94" s="281" t="str">
        <f>F!C131</f>
        <v>Deep Peat, to 40 cm (16 inch) depth or greater.</v>
      </c>
      <c r="D94" s="558">
        <f>F!D131</f>
        <v>0</v>
      </c>
      <c r="E94" s="76">
        <v>2</v>
      </c>
      <c r="F94" s="26">
        <f>D94*E94</f>
        <v>0</v>
      </c>
      <c r="G94" s="192"/>
      <c r="H94" s="2266"/>
      <c r="I94" s="359"/>
    </row>
    <row r="95" spans="1:9" x14ac:dyDescent="0.2">
      <c r="A95" s="2377"/>
      <c r="B95" s="2544"/>
      <c r="C95" s="281" t="str">
        <f>F!C132</f>
        <v xml:space="preserve">Shallow Peat or organic &lt;40 cm deep. </v>
      </c>
      <c r="D95" s="558">
        <f>F!D132</f>
        <v>0</v>
      </c>
      <c r="E95" s="76">
        <v>2</v>
      </c>
      <c r="F95" s="26">
        <f>D95*E95</f>
        <v>0</v>
      </c>
      <c r="G95" s="211"/>
      <c r="H95" s="2266"/>
      <c r="I95" s="359"/>
    </row>
    <row r="96" spans="1:9" ht="26.25" thickBot="1" x14ac:dyDescent="0.25">
      <c r="A96" s="2378"/>
      <c r="B96" s="2545"/>
      <c r="C96" s="249" t="str">
        <f>F!C133</f>
        <v>Coarse: includes sand, loamy sand, gravel, cobble, soils that do not make a ribbon when moistened, rolled, squeezed, and extended between thumb and forefinger.</v>
      </c>
      <c r="D96" s="794">
        <f>F!D133</f>
        <v>0</v>
      </c>
      <c r="E96" s="77">
        <v>0</v>
      </c>
      <c r="F96" s="67">
        <f>D96*E96</f>
        <v>0</v>
      </c>
      <c r="G96" s="193"/>
      <c r="H96" s="2267"/>
      <c r="I96" s="335"/>
    </row>
    <row r="97" spans="1:9" ht="26.25" thickBot="1" x14ac:dyDescent="0.25">
      <c r="A97" s="2262" t="str">
        <f>F!A135</f>
        <v>F22</v>
      </c>
      <c r="B97" s="2508"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v>
      </c>
      <c r="H97" s="2266" t="s">
        <v>8681</v>
      </c>
      <c r="I97" s="384" t="s">
        <v>2574</v>
      </c>
    </row>
    <row r="98" spans="1:9" x14ac:dyDescent="0.2">
      <c r="A98" s="2262"/>
      <c r="B98" s="2506"/>
      <c r="C98" s="281" t="str">
        <f>F!C136</f>
        <v xml:space="preserve">None, or &lt;0.01 hectare and &lt;1% of the AA. </v>
      </c>
      <c r="D98" s="558">
        <f>F!D136</f>
        <v>0</v>
      </c>
      <c r="E98" s="76">
        <v>0</v>
      </c>
      <c r="F98" s="26">
        <f>D98*E98</f>
        <v>0</v>
      </c>
      <c r="G98" s="191"/>
      <c r="H98" s="2266"/>
      <c r="I98" s="359"/>
    </row>
    <row r="99" spans="1:9" x14ac:dyDescent="0.2">
      <c r="A99" s="2262"/>
      <c r="B99" s="2506"/>
      <c r="C99" s="281" t="str">
        <f>F!C137</f>
        <v>1-20% of the AA, or &lt;1% but &gt;0.01 ha.</v>
      </c>
      <c r="D99" s="558">
        <f>F!D137</f>
        <v>0</v>
      </c>
      <c r="E99" s="76">
        <v>1</v>
      </c>
      <c r="F99" s="26">
        <f>D99*E99</f>
        <v>0</v>
      </c>
      <c r="G99" s="192"/>
      <c r="H99" s="2266"/>
      <c r="I99" s="359"/>
    </row>
    <row r="100" spans="1:9" x14ac:dyDescent="0.2">
      <c r="A100" s="2262"/>
      <c r="B100" s="2506"/>
      <c r="C100" s="281" t="str">
        <f>F!C138</f>
        <v>20-50% of the AA.</v>
      </c>
      <c r="D100" s="558">
        <f>F!D138</f>
        <v>0</v>
      </c>
      <c r="E100" s="76">
        <v>2</v>
      </c>
      <c r="F100" s="26">
        <f>D100*E100</f>
        <v>0</v>
      </c>
      <c r="G100" s="192"/>
      <c r="H100" s="2266"/>
      <c r="I100" s="359"/>
    </row>
    <row r="101" spans="1:9" x14ac:dyDescent="0.2">
      <c r="A101" s="2262"/>
      <c r="B101" s="2506"/>
      <c r="C101" s="281" t="str">
        <f>F!C139</f>
        <v>50-95% of the AA.</v>
      </c>
      <c r="D101" s="558">
        <f>F!D139</f>
        <v>0</v>
      </c>
      <c r="E101" s="76">
        <v>3</v>
      </c>
      <c r="F101" s="26">
        <f>D101*E101</f>
        <v>0</v>
      </c>
      <c r="G101" s="192"/>
      <c r="H101" s="2266"/>
      <c r="I101" s="359"/>
    </row>
    <row r="102" spans="1:9" ht="17.25" thickBot="1" x14ac:dyDescent="0.25">
      <c r="A102" s="2262"/>
      <c r="B102" s="2509"/>
      <c r="C102" s="151" t="str">
        <f>F!C140</f>
        <v xml:space="preserve">&gt;95% of the AA. </v>
      </c>
      <c r="D102" s="557">
        <f>F!D140</f>
        <v>0</v>
      </c>
      <c r="E102" s="79">
        <v>4</v>
      </c>
      <c r="F102" s="25">
        <f>D102*E102</f>
        <v>0</v>
      </c>
      <c r="G102" s="211"/>
      <c r="H102" s="2266"/>
      <c r="I102" s="335"/>
    </row>
    <row r="103" spans="1:9" ht="39" thickBot="1" x14ac:dyDescent="0.25">
      <c r="A103" s="2265" t="str">
        <f>F!A149</f>
        <v>F24</v>
      </c>
      <c r="B103" s="250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v>
      </c>
      <c r="H103" s="854" t="s">
        <v>2575</v>
      </c>
      <c r="I103" s="384" t="s">
        <v>2576</v>
      </c>
    </row>
    <row r="104" spans="1:9" ht="25.5" x14ac:dyDescent="0.2">
      <c r="A104" s="2262"/>
      <c r="B104" s="250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62"/>
      <c r="B105" s="2506"/>
      <c r="C105" s="281" t="str">
        <f>F!C151</f>
        <v>1-25% of the AA,  or &lt;1% but &gt;0.01 ha never contains surface water.</v>
      </c>
      <c r="D105" s="558">
        <f>F!D151</f>
        <v>0</v>
      </c>
      <c r="E105" s="76">
        <v>2</v>
      </c>
      <c r="F105" s="26">
        <f t="shared" si="6"/>
        <v>0</v>
      </c>
      <c r="G105" s="192"/>
      <c r="H105" s="855"/>
      <c r="I105" s="359"/>
    </row>
    <row r="106" spans="1:9" x14ac:dyDescent="0.2">
      <c r="A106" s="2262"/>
      <c r="B106" s="2506"/>
      <c r="C106" s="281" t="str">
        <f>F!C152</f>
        <v>25-50% of the AA never contains surface water.</v>
      </c>
      <c r="D106" s="558">
        <f>F!D152</f>
        <v>0</v>
      </c>
      <c r="E106" s="76">
        <v>3</v>
      </c>
      <c r="F106" s="26">
        <f t="shared" si="6"/>
        <v>0</v>
      </c>
      <c r="G106" s="192"/>
      <c r="H106" s="855"/>
      <c r="I106" s="359"/>
    </row>
    <row r="107" spans="1:9" x14ac:dyDescent="0.2">
      <c r="A107" s="2262"/>
      <c r="B107" s="2506"/>
      <c r="C107" s="281" t="str">
        <f>F!C153</f>
        <v>50-75% of the AA never contains surface water.</v>
      </c>
      <c r="D107" s="558">
        <f>F!D153</f>
        <v>0</v>
      </c>
      <c r="E107" s="76">
        <v>4</v>
      </c>
      <c r="F107" s="26">
        <f t="shared" si="6"/>
        <v>0</v>
      </c>
      <c r="G107" s="192"/>
      <c r="H107" s="855"/>
      <c r="I107" s="359"/>
    </row>
    <row r="108" spans="1:9" ht="25.5" x14ac:dyDescent="0.2">
      <c r="A108" s="2262"/>
      <c r="B108" s="250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63"/>
      <c r="B109" s="250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77" t="str">
        <f>F!A175</f>
        <v>F29</v>
      </c>
      <c r="B110" s="2588"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v>
      </c>
      <c r="H110" s="2266" t="s">
        <v>2577</v>
      </c>
      <c r="I110" s="384" t="s">
        <v>2578</v>
      </c>
    </row>
    <row r="111" spans="1:9" x14ac:dyDescent="0.2">
      <c r="A111" s="2377"/>
      <c r="B111" s="2544"/>
      <c r="C111" s="150" t="str">
        <f>F!C176</f>
        <v>&lt;10 cm deep (but &gt;0).</v>
      </c>
      <c r="D111" s="401">
        <f>F!D176</f>
        <v>0</v>
      </c>
      <c r="E111" s="76">
        <v>6</v>
      </c>
      <c r="F111" s="26">
        <f>D111*E111</f>
        <v>0</v>
      </c>
      <c r="G111" s="192"/>
      <c r="H111" s="2266"/>
      <c r="I111" s="359"/>
    </row>
    <row r="112" spans="1:9" x14ac:dyDescent="0.2">
      <c r="A112" s="2377"/>
      <c r="B112" s="2544"/>
      <c r="C112" s="281" t="str">
        <f>F!C177</f>
        <v>10 - 50 cm deep.</v>
      </c>
      <c r="D112" s="558">
        <f>F!D177</f>
        <v>0</v>
      </c>
      <c r="E112" s="76">
        <v>4</v>
      </c>
      <c r="F112" s="26">
        <f>D112*E112</f>
        <v>0</v>
      </c>
      <c r="G112" s="192"/>
      <c r="H112" s="2266"/>
      <c r="I112" s="359"/>
    </row>
    <row r="113" spans="1:9" x14ac:dyDescent="0.2">
      <c r="A113" s="2377"/>
      <c r="B113" s="2544"/>
      <c r="C113" s="281" t="str">
        <f>F!C178</f>
        <v>0.5 - 1 m deep.</v>
      </c>
      <c r="D113" s="558">
        <f>F!D178</f>
        <v>0</v>
      </c>
      <c r="E113" s="76">
        <v>3</v>
      </c>
      <c r="F113" s="26">
        <f>D113*E113</f>
        <v>0</v>
      </c>
      <c r="G113" s="192"/>
      <c r="H113" s="2266"/>
      <c r="I113" s="359"/>
    </row>
    <row r="114" spans="1:9" x14ac:dyDescent="0.2">
      <c r="A114" s="2377"/>
      <c r="B114" s="2544"/>
      <c r="C114" s="281" t="str">
        <f>F!C179</f>
        <v>1 - 2 m deep.</v>
      </c>
      <c r="D114" s="558">
        <f>F!D179</f>
        <v>0</v>
      </c>
      <c r="E114" s="76">
        <v>1</v>
      </c>
      <c r="F114" s="26">
        <f>D114*E114</f>
        <v>0</v>
      </c>
      <c r="G114" s="192"/>
      <c r="H114" s="2266"/>
      <c r="I114" s="359"/>
    </row>
    <row r="115" spans="1:9" ht="17.25" thickBot="1" x14ac:dyDescent="0.25">
      <c r="A115" s="2377"/>
      <c r="B115" s="2589"/>
      <c r="C115" s="151" t="str">
        <f>F!C180</f>
        <v>&gt;2 m deep. True for many fringe wetlands.</v>
      </c>
      <c r="D115" s="557">
        <f>F!D180</f>
        <v>0</v>
      </c>
      <c r="E115" s="79">
        <v>0</v>
      </c>
      <c r="F115" s="25">
        <f>D115*E115</f>
        <v>0</v>
      </c>
      <c r="G115" s="211"/>
      <c r="H115" s="2266"/>
      <c r="I115" s="335"/>
    </row>
    <row r="116" spans="1:9" ht="39" thickBot="1" x14ac:dyDescent="0.25">
      <c r="A116" s="2261" t="str">
        <f>F!A202</f>
        <v>F34</v>
      </c>
      <c r="B116" s="2555"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271" t="s">
        <v>2579</v>
      </c>
      <c r="I116" s="384" t="s">
        <v>2580</v>
      </c>
    </row>
    <row r="117" spans="1:9" x14ac:dyDescent="0.2">
      <c r="A117" s="2284"/>
      <c r="B117" s="2512"/>
      <c r="C117" s="150" t="str">
        <f>F!C203</f>
        <v>&lt;1 m.</v>
      </c>
      <c r="D117" s="401">
        <f>F!D203</f>
        <v>0</v>
      </c>
      <c r="E117" s="76">
        <v>0</v>
      </c>
      <c r="F117" s="26">
        <f t="shared" ref="F117:F122" si="7">D117*E117</f>
        <v>0</v>
      </c>
      <c r="G117" s="191"/>
      <c r="H117" s="2266"/>
      <c r="I117" s="359"/>
    </row>
    <row r="118" spans="1:9" x14ac:dyDescent="0.2">
      <c r="A118" s="2284"/>
      <c r="B118" s="2512"/>
      <c r="C118" s="150" t="str">
        <f>F!C204</f>
        <v>1 - 9 m.</v>
      </c>
      <c r="D118" s="401">
        <f>F!D204</f>
        <v>0</v>
      </c>
      <c r="E118" s="76">
        <v>1</v>
      </c>
      <c r="F118" s="26">
        <f t="shared" si="7"/>
        <v>0</v>
      </c>
      <c r="G118" s="191"/>
      <c r="H118" s="2266"/>
      <c r="I118" s="359"/>
    </row>
    <row r="119" spans="1:9" x14ac:dyDescent="0.2">
      <c r="A119" s="2284"/>
      <c r="B119" s="2512"/>
      <c r="C119" s="150" t="str">
        <f>F!C205</f>
        <v>10 - 29 m.</v>
      </c>
      <c r="D119" s="401">
        <f>F!D205</f>
        <v>0</v>
      </c>
      <c r="E119" s="76">
        <v>2</v>
      </c>
      <c r="F119" s="26">
        <f t="shared" si="7"/>
        <v>0</v>
      </c>
      <c r="G119" s="192"/>
      <c r="H119" s="2266"/>
      <c r="I119" s="359"/>
    </row>
    <row r="120" spans="1:9" x14ac:dyDescent="0.2">
      <c r="A120" s="2284"/>
      <c r="B120" s="2512"/>
      <c r="C120" s="150" t="str">
        <f>F!C206</f>
        <v>30 - 49 m.</v>
      </c>
      <c r="D120" s="401">
        <f>F!D206</f>
        <v>0</v>
      </c>
      <c r="E120" s="76">
        <v>3</v>
      </c>
      <c r="F120" s="26">
        <f t="shared" si="7"/>
        <v>0</v>
      </c>
      <c r="G120" s="192"/>
      <c r="H120" s="2266"/>
      <c r="I120" s="359"/>
    </row>
    <row r="121" spans="1:9" x14ac:dyDescent="0.2">
      <c r="A121" s="2284"/>
      <c r="B121" s="2512"/>
      <c r="C121" s="150" t="str">
        <f>F!C207</f>
        <v>50 - 100 m.</v>
      </c>
      <c r="D121" s="401">
        <f>F!D207</f>
        <v>0</v>
      </c>
      <c r="E121" s="76">
        <v>4</v>
      </c>
      <c r="F121" s="26">
        <f t="shared" si="7"/>
        <v>0</v>
      </c>
      <c r="G121" s="192"/>
      <c r="H121" s="2266"/>
      <c r="I121" s="359"/>
    </row>
    <row r="122" spans="1:9" ht="17.25" thickBot="1" x14ac:dyDescent="0.25">
      <c r="A122" s="2285"/>
      <c r="B122" s="2556"/>
      <c r="C122" s="253" t="str">
        <f>F!C208</f>
        <v>&gt; 100 m, or open water is absent at that time.</v>
      </c>
      <c r="D122" s="480">
        <f>F!D208</f>
        <v>0</v>
      </c>
      <c r="E122" s="77">
        <v>6</v>
      </c>
      <c r="F122" s="67">
        <f t="shared" si="7"/>
        <v>0</v>
      </c>
      <c r="G122" s="193"/>
      <c r="H122" s="2267"/>
      <c r="I122" s="335"/>
    </row>
    <row r="123" spans="1:9" ht="26.25" thickBot="1" x14ac:dyDescent="0.25">
      <c r="A123" s="2278" t="str">
        <f>F!A217</f>
        <v>F36</v>
      </c>
      <c r="B123" s="2511"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v>
      </c>
      <c r="H123" s="2266" t="s">
        <v>2581</v>
      </c>
      <c r="I123" s="384" t="s">
        <v>2582</v>
      </c>
    </row>
    <row r="124" spans="1:9" ht="25.5" x14ac:dyDescent="0.2">
      <c r="A124" s="2282"/>
      <c r="B124" s="2506"/>
      <c r="C124" s="150" t="str">
        <f>F!C218</f>
        <v>Scattered. More than 30% of such vegetation forms small islands or corridors surrounded by water.</v>
      </c>
      <c r="D124" s="401">
        <f>F!D218</f>
        <v>0</v>
      </c>
      <c r="E124" s="76">
        <v>3</v>
      </c>
      <c r="F124" s="26">
        <f>D124*E124</f>
        <v>0</v>
      </c>
      <c r="G124" s="192"/>
      <c r="H124" s="2266"/>
      <c r="I124" s="359"/>
    </row>
    <row r="125" spans="1:9" x14ac:dyDescent="0.2">
      <c r="A125" s="2282"/>
      <c r="B125" s="2506"/>
      <c r="C125" s="281" t="str">
        <f>F!C219</f>
        <v>Intermediate.</v>
      </c>
      <c r="D125" s="558">
        <f>F!D219</f>
        <v>0</v>
      </c>
      <c r="E125" s="76">
        <v>2</v>
      </c>
      <c r="F125" s="26">
        <f>D125*E125</f>
        <v>0</v>
      </c>
      <c r="G125" s="192"/>
      <c r="H125" s="2266"/>
      <c r="I125" s="359"/>
    </row>
    <row r="126" spans="1:9" ht="26.25" thickBot="1" x14ac:dyDescent="0.25">
      <c r="A126" s="2282"/>
      <c r="B126" s="2509"/>
      <c r="C126" s="151" t="str">
        <f>F!C220</f>
        <v>Clumped. More than 70% of such vegetation is in bands along the wetland perimeter or is clumped at one or a few sides of the surface water area.</v>
      </c>
      <c r="D126" s="557">
        <f>F!D220</f>
        <v>0</v>
      </c>
      <c r="E126" s="79">
        <v>1</v>
      </c>
      <c r="F126" s="25">
        <f>D126*E126</f>
        <v>0</v>
      </c>
      <c r="G126" s="211"/>
      <c r="H126" s="2266"/>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8589</v>
      </c>
      <c r="I127" s="265" t="s">
        <v>8590</v>
      </c>
    </row>
    <row r="128" spans="1:9" ht="17.25" thickBot="1" x14ac:dyDescent="0.25">
      <c r="A128" s="2262" t="str">
        <f>F!A251</f>
        <v>F47</v>
      </c>
      <c r="B128" s="2508" t="str">
        <f>F!B251</f>
        <v>Beaver Probability [SFTS, CC, APP, FA, FR, AM, WBF, WBN, RSB, KMH, PH, Sens]</v>
      </c>
      <c r="C128" s="253" t="str">
        <f>F!C251</f>
        <v>Use of the AA by beaver during the past 5 years is (select most applicable ONE):</v>
      </c>
      <c r="D128" s="802"/>
      <c r="E128" s="75"/>
      <c r="F128" s="152"/>
      <c r="G128" s="348">
        <f>MAX(F129:F131)/MAX(E129:E131)</f>
        <v>0</v>
      </c>
      <c r="H128" s="2266" t="s">
        <v>8955</v>
      </c>
      <c r="I128" s="384" t="s">
        <v>2583</v>
      </c>
    </row>
    <row r="129" spans="1:9" ht="25.5" x14ac:dyDescent="0.2">
      <c r="A129" s="2262"/>
      <c r="B129" s="2506"/>
      <c r="C129" s="150" t="str">
        <f>F!C252</f>
        <v>Evident from direct observation or presence of gnawed limbs, dams, tracks, dens, lodges, or extensive stands of water-killed trees (snags).</v>
      </c>
      <c r="D129" s="401">
        <f>F!D252</f>
        <v>0</v>
      </c>
      <c r="E129" s="76">
        <v>3</v>
      </c>
      <c r="F129" s="26">
        <f>D129*E129</f>
        <v>0</v>
      </c>
      <c r="G129" s="191"/>
      <c r="H129" s="2266"/>
      <c r="I129" s="359"/>
    </row>
    <row r="130" spans="1:9" ht="51" x14ac:dyDescent="0.2">
      <c r="A130" s="2262"/>
      <c r="B130" s="250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266"/>
      <c r="I130" s="359"/>
    </row>
    <row r="131" spans="1:9" ht="26.25" thickBot="1" x14ac:dyDescent="0.25">
      <c r="A131" s="2263"/>
      <c r="B131" s="250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267"/>
      <c r="I131" s="335"/>
    </row>
    <row r="132" spans="1:9" ht="21.75" customHeight="1" thickBot="1" x14ac:dyDescent="0.25">
      <c r="A132" s="2379" t="str">
        <f>F!A255</f>
        <v>F48</v>
      </c>
      <c r="B132" s="2246" t="str">
        <f>F!B255</f>
        <v>Groundwater Strength of Evidence [WS, SFTS, PRb, NR, APP, FA, FR, AM]</v>
      </c>
      <c r="C132" s="1823" t="str">
        <f>F!C255</f>
        <v>Select first applicable choice:</v>
      </c>
      <c r="D132" s="206"/>
      <c r="E132" s="206"/>
      <c r="F132" s="206"/>
      <c r="G132" s="672">
        <f>MAX(F133:F135)/MAX(E133:E135)</f>
        <v>0</v>
      </c>
      <c r="H132" s="2271" t="s">
        <v>8956</v>
      </c>
      <c r="I132" s="384" t="s">
        <v>8591</v>
      </c>
    </row>
    <row r="133" spans="1:9" ht="42.75" customHeight="1" x14ac:dyDescent="0.2">
      <c r="A133" s="2380"/>
      <c r="B133" s="2247"/>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266"/>
      <c r="I133" s="359"/>
    </row>
    <row r="134" spans="1:9" ht="38.25" x14ac:dyDescent="0.2">
      <c r="A134" s="2380"/>
      <c r="B134" s="2247"/>
      <c r="C134" s="1827" t="str">
        <f>F!C257</f>
        <v>Most of the AA has a slope of &gt;5%, or is very close to the base of a natural slope longer than 100 and much steeper than the slope of the AA,  AND the pH of surface water, if known, is &gt;5.5.</v>
      </c>
      <c r="D134" s="815">
        <f>F!D257</f>
        <v>0</v>
      </c>
      <c r="E134" s="76">
        <v>2</v>
      </c>
      <c r="F134" s="25">
        <f t="shared" si="8"/>
        <v>0</v>
      </c>
      <c r="G134" s="166"/>
      <c r="H134" s="2266"/>
      <c r="I134" s="359"/>
    </row>
    <row r="135" spans="1:9" ht="26.25" thickBot="1" x14ac:dyDescent="0.25">
      <c r="A135" s="2381"/>
      <c r="B135" s="2248"/>
      <c r="C135" s="1828" t="str">
        <f>F!C258</f>
        <v>Neither of above is true, although some groundwater may discharge to or flow through the AA. Or groundwater influx is unknown.</v>
      </c>
      <c r="D135" s="816">
        <f>F!D258</f>
        <v>0</v>
      </c>
      <c r="E135" s="77">
        <v>0</v>
      </c>
      <c r="F135" s="67">
        <f t="shared" si="8"/>
        <v>0</v>
      </c>
      <c r="G135" s="167"/>
      <c r="H135" s="2267"/>
      <c r="I135" s="335"/>
    </row>
    <row r="136" spans="1:9" ht="39" thickBot="1" x14ac:dyDescent="0.25">
      <c r="A136" s="2377" t="str">
        <f>F!A266</f>
        <v>F50</v>
      </c>
      <c r="B136" s="2588"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v>
      </c>
      <c r="H136" s="2266" t="s">
        <v>8957</v>
      </c>
      <c r="I136" s="359" t="s">
        <v>2584</v>
      </c>
    </row>
    <row r="137" spans="1:9" x14ac:dyDescent="0.2">
      <c r="A137" s="2377"/>
      <c r="B137" s="2544"/>
      <c r="C137" s="252" t="str">
        <f>F!C267</f>
        <v>&lt;5%.</v>
      </c>
      <c r="D137" s="479">
        <f>F!D267</f>
        <v>0</v>
      </c>
      <c r="E137" s="26">
        <v>0</v>
      </c>
      <c r="F137" s="76">
        <f>D137*E137</f>
        <v>0</v>
      </c>
      <c r="G137" s="191"/>
      <c r="H137" s="2266"/>
      <c r="I137" s="359"/>
    </row>
    <row r="138" spans="1:9" x14ac:dyDescent="0.2">
      <c r="A138" s="2377"/>
      <c r="B138" s="2544"/>
      <c r="C138" s="281" t="str">
        <f>F!C268</f>
        <v>5 to &lt;30%.</v>
      </c>
      <c r="D138" s="558">
        <f>F!D268</f>
        <v>0</v>
      </c>
      <c r="E138" s="26">
        <v>2</v>
      </c>
      <c r="F138" s="76">
        <f>D138*E138</f>
        <v>0</v>
      </c>
      <c r="G138" s="192"/>
      <c r="H138" s="2266"/>
      <c r="I138" s="359"/>
    </row>
    <row r="139" spans="1:9" x14ac:dyDescent="0.2">
      <c r="A139" s="2377"/>
      <c r="B139" s="2544"/>
      <c r="C139" s="281" t="str">
        <f>F!C269</f>
        <v>30 to &lt;60%.</v>
      </c>
      <c r="D139" s="558">
        <f>F!D269</f>
        <v>0</v>
      </c>
      <c r="E139" s="26">
        <v>3</v>
      </c>
      <c r="F139" s="76">
        <f>D139*E139</f>
        <v>0</v>
      </c>
      <c r="G139" s="192"/>
      <c r="H139" s="2266"/>
      <c r="I139" s="359"/>
    </row>
    <row r="140" spans="1:9" x14ac:dyDescent="0.2">
      <c r="A140" s="2377"/>
      <c r="B140" s="2544"/>
      <c r="C140" s="281" t="str">
        <f>F!C270</f>
        <v>60 to 90%.</v>
      </c>
      <c r="D140" s="558">
        <f>F!D270</f>
        <v>0</v>
      </c>
      <c r="E140" s="26">
        <v>4</v>
      </c>
      <c r="F140" s="76">
        <f>D140*E140</f>
        <v>0</v>
      </c>
      <c r="G140" s="192"/>
      <c r="H140" s="2266"/>
      <c r="I140" s="359"/>
    </row>
    <row r="141" spans="1:9" ht="17.25" thickBot="1" x14ac:dyDescent="0.25">
      <c r="A141" s="2378"/>
      <c r="B141" s="2545"/>
      <c r="C141" s="249" t="str">
        <f>F!C271</f>
        <v>&gt;90%, or all the area within 30 m of the AA edge is other wetlands. SKIP to F53.</v>
      </c>
      <c r="D141" s="794">
        <f>F!D271</f>
        <v>0</v>
      </c>
      <c r="E141" s="67">
        <v>6</v>
      </c>
      <c r="F141" s="77">
        <f>D141*E141</f>
        <v>0</v>
      </c>
      <c r="G141" s="193"/>
      <c r="H141" s="2267"/>
      <c r="I141" s="335"/>
    </row>
    <row r="142" spans="1:9" ht="17.25" thickBot="1" x14ac:dyDescent="0.25">
      <c r="A142" s="2741" t="str">
        <f>F!A294</f>
        <v>F55</v>
      </c>
      <c r="B142" s="2508" t="str">
        <f>F!B294</f>
        <v>Fire History [WFR, CSP, PH, STR]</v>
      </c>
      <c r="C142" s="2" t="str">
        <f>F!C294</f>
        <v>More than 1% of the AA's previously vegetated area:</v>
      </c>
      <c r="D142" s="1405"/>
      <c r="E142" s="75"/>
      <c r="F142" s="78"/>
      <c r="G142" s="677">
        <f>IF((D146=1),"",MAX(F143:F146)/MAX(E143:E146))</f>
        <v>0</v>
      </c>
      <c r="H142" s="2266" t="s">
        <v>8958</v>
      </c>
      <c r="I142" s="384" t="s">
        <v>2585</v>
      </c>
    </row>
    <row r="143" spans="1:9" x14ac:dyDescent="0.2">
      <c r="A143" s="2742"/>
      <c r="B143" s="2506"/>
      <c r="C143" s="700" t="str">
        <f>F!C295</f>
        <v>Burned within past 5 years.</v>
      </c>
      <c r="D143" s="558">
        <f>F!D295</f>
        <v>0</v>
      </c>
      <c r="E143" s="76">
        <v>4</v>
      </c>
      <c r="F143" s="76">
        <f>D143*E143</f>
        <v>0</v>
      </c>
      <c r="G143" s="191"/>
      <c r="H143" s="2266"/>
      <c r="I143" s="359"/>
    </row>
    <row r="144" spans="1:9" x14ac:dyDescent="0.2">
      <c r="A144" s="2742"/>
      <c r="B144" s="2506"/>
      <c r="C144" s="700" t="str">
        <f>F!C296</f>
        <v>Burned 6-10 years ago.</v>
      </c>
      <c r="D144" s="558">
        <f>F!D296</f>
        <v>0</v>
      </c>
      <c r="E144" s="76">
        <v>3</v>
      </c>
      <c r="F144" s="76">
        <f>D144*E144</f>
        <v>0</v>
      </c>
      <c r="G144" s="192"/>
      <c r="H144" s="2266"/>
      <c r="I144" s="359"/>
    </row>
    <row r="145" spans="1:9" x14ac:dyDescent="0.2">
      <c r="A145" s="2742"/>
      <c r="B145" s="2506"/>
      <c r="C145" s="700" t="str">
        <f>F!C297</f>
        <v>Burned 11-30 years ago.</v>
      </c>
      <c r="D145" s="558">
        <f>F!D297</f>
        <v>0</v>
      </c>
      <c r="E145" s="76">
        <v>2</v>
      </c>
      <c r="F145" s="76">
        <f>D145*E145</f>
        <v>0</v>
      </c>
      <c r="G145" s="192"/>
      <c r="H145" s="2266"/>
      <c r="I145" s="359"/>
    </row>
    <row r="146" spans="1:9" ht="17.25" thickBot="1" x14ac:dyDescent="0.25">
      <c r="A146" s="2743"/>
      <c r="B146" s="2509"/>
      <c r="C146" s="698" t="str">
        <f>F!C298</f>
        <v>Burned &gt;30 years ago, or no evidence of a burn and no data.</v>
      </c>
      <c r="D146" s="557">
        <f>F!D298</f>
        <v>0</v>
      </c>
      <c r="E146" s="79">
        <v>0</v>
      </c>
      <c r="F146" s="79">
        <f>D146*E146</f>
        <v>0</v>
      </c>
      <c r="G146" s="211"/>
      <c r="H146" s="2266"/>
      <c r="I146" s="335"/>
    </row>
    <row r="147" spans="1:9" ht="26.25" thickBot="1" x14ac:dyDescent="0.25">
      <c r="A147" s="2575" t="str">
        <f>F!A308</f>
        <v>F58</v>
      </c>
      <c r="B147" s="2543"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v>
      </c>
      <c r="H147" s="2271" t="s">
        <v>2586</v>
      </c>
      <c r="I147" s="384" t="s">
        <v>2587</v>
      </c>
    </row>
    <row r="148" spans="1:9" x14ac:dyDescent="0.2">
      <c r="A148" s="2377"/>
      <c r="B148" s="2544"/>
      <c r="C148" s="252" t="str">
        <f>F!C309</f>
        <v>&lt;5% and no inhabited building is within 100 m of the AA.</v>
      </c>
      <c r="D148" s="694">
        <f>F!D309</f>
        <v>0</v>
      </c>
      <c r="E148" s="93">
        <v>1</v>
      </c>
      <c r="F148" s="76">
        <f t="shared" ref="F148:F153" si="9">D148*E148</f>
        <v>0</v>
      </c>
      <c r="G148" s="191"/>
      <c r="H148" s="2266"/>
      <c r="I148" s="359"/>
    </row>
    <row r="149" spans="1:9" x14ac:dyDescent="0.2">
      <c r="A149" s="2377"/>
      <c r="B149" s="2544"/>
      <c r="C149" s="281" t="str">
        <f>F!C310</f>
        <v>&lt;5% and inhabited building is within 100 m of the AA.</v>
      </c>
      <c r="D149" s="558">
        <f>F!D310</f>
        <v>0</v>
      </c>
      <c r="E149" s="93">
        <v>0</v>
      </c>
      <c r="F149" s="76">
        <f t="shared" si="9"/>
        <v>0</v>
      </c>
      <c r="G149" s="192"/>
      <c r="H149" s="2266"/>
      <c r="I149" s="359"/>
    </row>
    <row r="150" spans="1:9" x14ac:dyDescent="0.2">
      <c r="A150" s="2377"/>
      <c r="B150" s="2544"/>
      <c r="C150" s="281" t="str">
        <f>F!C311</f>
        <v>5-50% and no inhabited building is within 100 m of the AA.</v>
      </c>
      <c r="D150" s="558">
        <f>F!D311</f>
        <v>0</v>
      </c>
      <c r="E150" s="93">
        <v>3</v>
      </c>
      <c r="F150" s="76">
        <f t="shared" si="9"/>
        <v>0</v>
      </c>
      <c r="G150" s="192"/>
      <c r="H150" s="2266"/>
      <c r="I150" s="359"/>
    </row>
    <row r="151" spans="1:9" x14ac:dyDescent="0.2">
      <c r="A151" s="2377"/>
      <c r="B151" s="2544"/>
      <c r="C151" s="281" t="str">
        <f>F!C312</f>
        <v>5-50% and inhabited building is within 100 m of the AA.</v>
      </c>
      <c r="D151" s="558">
        <f>F!D312</f>
        <v>0</v>
      </c>
      <c r="E151" s="93">
        <v>2</v>
      </c>
      <c r="F151" s="76">
        <f t="shared" si="9"/>
        <v>0</v>
      </c>
      <c r="G151" s="211"/>
      <c r="H151" s="2266"/>
      <c r="I151" s="359"/>
    </row>
    <row r="152" spans="1:9" x14ac:dyDescent="0.2">
      <c r="A152" s="2377"/>
      <c r="B152" s="2544"/>
      <c r="C152" s="281" t="str">
        <f>F!C313</f>
        <v>50-95%, with or without inhabited building nearby.</v>
      </c>
      <c r="D152" s="558">
        <f>F!D313</f>
        <v>0</v>
      </c>
      <c r="E152" s="93">
        <v>4</v>
      </c>
      <c r="F152" s="76">
        <f t="shared" si="9"/>
        <v>0</v>
      </c>
      <c r="G152" s="211"/>
      <c r="H152" s="2266"/>
      <c r="I152" s="359"/>
    </row>
    <row r="153" spans="1:9" ht="17.25" thickBot="1" x14ac:dyDescent="0.25">
      <c r="A153" s="2378"/>
      <c r="B153" s="2545"/>
      <c r="C153" s="253" t="str">
        <f>F!C314</f>
        <v>&gt;95% of the AA with or without inhabited building nearby.</v>
      </c>
      <c r="D153" s="480">
        <f>F!D314</f>
        <v>0</v>
      </c>
      <c r="E153" s="97">
        <v>5</v>
      </c>
      <c r="F153" s="77">
        <f t="shared" si="9"/>
        <v>0</v>
      </c>
      <c r="G153" s="193"/>
      <c r="H153" s="2267"/>
      <c r="I153" s="335"/>
    </row>
    <row r="154" spans="1:9" ht="26.25" thickBot="1" x14ac:dyDescent="0.25">
      <c r="A154" s="2377" t="str">
        <f>F!A316</f>
        <v>F59</v>
      </c>
      <c r="B154" s="2588"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v>
      </c>
      <c r="H154" s="2266" t="s">
        <v>1148</v>
      </c>
      <c r="I154" s="384" t="s">
        <v>2588</v>
      </c>
    </row>
    <row r="155" spans="1:9" ht="25.5" x14ac:dyDescent="0.2">
      <c r="A155" s="2377"/>
      <c r="B155" s="2544"/>
      <c r="C155" s="252" t="str">
        <f>F!C317</f>
        <v>&lt;5%. If F58 was answered "&gt;95%" (mostly never visited), SKIP to F62 (Consumptive Uses).</v>
      </c>
      <c r="D155" s="694">
        <f>F!D317</f>
        <v>0</v>
      </c>
      <c r="E155" s="93">
        <v>3</v>
      </c>
      <c r="F155" s="76">
        <f>D155*E155</f>
        <v>0</v>
      </c>
      <c r="G155" s="191"/>
      <c r="H155" s="2266"/>
      <c r="I155" s="359"/>
    </row>
    <row r="156" spans="1:9" x14ac:dyDescent="0.2">
      <c r="A156" s="2377"/>
      <c r="B156" s="2544"/>
      <c r="C156" s="281" t="str">
        <f>F!C318</f>
        <v>5-50%.</v>
      </c>
      <c r="D156" s="558">
        <f>F!D318</f>
        <v>0</v>
      </c>
      <c r="E156" s="93">
        <v>2</v>
      </c>
      <c r="F156" s="76">
        <f>D156*E156</f>
        <v>0</v>
      </c>
      <c r="G156" s="192"/>
      <c r="H156" s="2266"/>
      <c r="I156" s="359"/>
    </row>
    <row r="157" spans="1:9" x14ac:dyDescent="0.2">
      <c r="A157" s="2377"/>
      <c r="B157" s="2544"/>
      <c r="C157" s="281" t="str">
        <f>F!C319</f>
        <v>50-95%.</v>
      </c>
      <c r="D157" s="558">
        <f>F!D319</f>
        <v>0</v>
      </c>
      <c r="E157" s="93">
        <v>1</v>
      </c>
      <c r="F157" s="76">
        <f>D157*E157</f>
        <v>0</v>
      </c>
      <c r="G157" s="192"/>
      <c r="H157" s="2266"/>
      <c r="I157" s="359"/>
    </row>
    <row r="158" spans="1:9" ht="17.25" thickBot="1" x14ac:dyDescent="0.25">
      <c r="A158" s="2377"/>
      <c r="B158" s="2589"/>
      <c r="C158" s="151" t="str">
        <f>F!C320</f>
        <v>&gt;95% of the AA.</v>
      </c>
      <c r="D158" s="794">
        <f>F!D320</f>
        <v>0</v>
      </c>
      <c r="E158" s="97">
        <v>0</v>
      </c>
      <c r="F158" s="79">
        <f>D158*E158</f>
        <v>0</v>
      </c>
      <c r="G158" s="211"/>
      <c r="H158" s="2267"/>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0.16666666666666666</v>
      </c>
      <c r="E161" s="92"/>
      <c r="F161" s="70"/>
      <c r="G161" s="165">
        <f>1-D161</f>
        <v>0.83333333333333337</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08"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v>
      </c>
      <c r="H167" s="2271" t="s">
        <v>2600</v>
      </c>
      <c r="I167" s="2572" t="s">
        <v>2601</v>
      </c>
    </row>
    <row r="168" spans="1:9" x14ac:dyDescent="0.2">
      <c r="A168" s="1589"/>
      <c r="B168" s="2506"/>
      <c r="C168" s="281" t="str">
        <f>OF!C19</f>
        <v>&lt;0.01 hectare (about 10 m x 10 m).</v>
      </c>
      <c r="D168" s="558">
        <f>OF!D19</f>
        <v>0</v>
      </c>
      <c r="E168" s="76">
        <v>8</v>
      </c>
      <c r="F168" s="76">
        <f t="shared" ref="F168:F173" si="10">D168*E168</f>
        <v>0</v>
      </c>
      <c r="G168" s="243"/>
      <c r="H168" s="2266"/>
      <c r="I168" s="2573"/>
    </row>
    <row r="169" spans="1:9" x14ac:dyDescent="0.2">
      <c r="A169" s="1589"/>
      <c r="B169" s="2506"/>
      <c r="C169" s="281" t="str">
        <f>OF!C20</f>
        <v>0.01 - 0.1 hectare.</v>
      </c>
      <c r="D169" s="558">
        <f>OF!D20</f>
        <v>0</v>
      </c>
      <c r="E169" s="76">
        <v>6</v>
      </c>
      <c r="F169" s="76">
        <f t="shared" si="10"/>
        <v>0</v>
      </c>
      <c r="G169" s="181"/>
      <c r="H169" s="2266"/>
      <c r="I169" s="2573"/>
    </row>
    <row r="170" spans="1:9" x14ac:dyDescent="0.2">
      <c r="A170" s="1589"/>
      <c r="B170" s="2506"/>
      <c r="C170" s="281" t="str">
        <f>OF!C21</f>
        <v>0.1 - 1 hectare.</v>
      </c>
      <c r="D170" s="558">
        <f>OF!D21</f>
        <v>0</v>
      </c>
      <c r="E170" s="76">
        <v>4</v>
      </c>
      <c r="F170" s="76">
        <f t="shared" si="10"/>
        <v>0</v>
      </c>
      <c r="G170" s="181"/>
      <c r="H170" s="2266"/>
      <c r="I170" s="2573"/>
    </row>
    <row r="171" spans="1:9" x14ac:dyDescent="0.2">
      <c r="A171" s="1589"/>
      <c r="B171" s="2506"/>
      <c r="C171" s="281" t="str">
        <f>OF!C22</f>
        <v>1 to 10 hectares.</v>
      </c>
      <c r="D171" s="558">
        <f>OF!D22</f>
        <v>0</v>
      </c>
      <c r="E171" s="76">
        <v>2</v>
      </c>
      <c r="F171" s="76">
        <f t="shared" si="10"/>
        <v>0</v>
      </c>
      <c r="G171" s="181"/>
      <c r="H171" s="2266"/>
      <c r="I171" s="2573"/>
    </row>
    <row r="172" spans="1:9" x14ac:dyDescent="0.2">
      <c r="A172" s="1589"/>
      <c r="B172" s="2506"/>
      <c r="C172" s="281" t="str">
        <f>OF!C23</f>
        <v>10 to 100 hectares.</v>
      </c>
      <c r="D172" s="558">
        <f>OF!D23</f>
        <v>0</v>
      </c>
      <c r="E172" s="76">
        <v>1</v>
      </c>
      <c r="F172" s="76">
        <f t="shared" si="10"/>
        <v>0</v>
      </c>
      <c r="G172" s="181"/>
      <c r="H172" s="2266"/>
      <c r="I172" s="2573"/>
    </row>
    <row r="173" spans="1:9" ht="17.25" thickBot="1" x14ac:dyDescent="0.25">
      <c r="A173" s="1589"/>
      <c r="B173" s="2509"/>
      <c r="C173" s="151" t="str">
        <f>OF!C24</f>
        <v>&gt;100 hectares.</v>
      </c>
      <c r="D173" s="557">
        <f>OF!D24</f>
        <v>0</v>
      </c>
      <c r="E173" s="79">
        <v>0</v>
      </c>
      <c r="F173" s="79">
        <f t="shared" si="10"/>
        <v>0</v>
      </c>
      <c r="G173" s="242"/>
      <c r="H173" s="2267"/>
      <c r="I173" s="2574"/>
    </row>
    <row r="174" spans="1:9" ht="39" thickBot="1" x14ac:dyDescent="0.25">
      <c r="A174" s="2258" t="str">
        <f>OF!A25</f>
        <v>OF4</v>
      </c>
      <c r="B174" s="250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v>
      </c>
      <c r="H174" s="2266" t="s">
        <v>2602</v>
      </c>
      <c r="I174" s="2572" t="s">
        <v>2603</v>
      </c>
    </row>
    <row r="175" spans="1:9" x14ac:dyDescent="0.2">
      <c r="A175" s="2259"/>
      <c r="B175" s="2506"/>
      <c r="C175" s="281" t="str">
        <f>OF!C26</f>
        <v>&lt;0.01 hectare (about 10 m x 10 m).</v>
      </c>
      <c r="D175" s="558">
        <f>OF!D26</f>
        <v>0</v>
      </c>
      <c r="E175" s="76">
        <v>8</v>
      </c>
      <c r="F175" s="76">
        <f t="shared" ref="F175:F181" si="11">D175*E175</f>
        <v>0</v>
      </c>
      <c r="G175" s="243"/>
      <c r="H175" s="2266"/>
      <c r="I175" s="2573"/>
    </row>
    <row r="176" spans="1:9" x14ac:dyDescent="0.2">
      <c r="A176" s="2259"/>
      <c r="B176" s="2506"/>
      <c r="C176" s="281" t="str">
        <f>OF!C27</f>
        <v>0.01 - 0.1 hectare.</v>
      </c>
      <c r="D176" s="558">
        <f>OF!D27</f>
        <v>0</v>
      </c>
      <c r="E176" s="76">
        <v>7</v>
      </c>
      <c r="F176" s="76">
        <f t="shared" si="11"/>
        <v>0</v>
      </c>
      <c r="G176" s="181"/>
      <c r="H176" s="2266"/>
      <c r="I176" s="2573"/>
    </row>
    <row r="177" spans="1:9" x14ac:dyDescent="0.2">
      <c r="A177" s="2259"/>
      <c r="B177" s="2506"/>
      <c r="C177" s="281" t="str">
        <f>OF!C28</f>
        <v>0.1 - 1 hectare.</v>
      </c>
      <c r="D177" s="558">
        <f>OF!D28</f>
        <v>0</v>
      </c>
      <c r="E177" s="76">
        <v>6</v>
      </c>
      <c r="F177" s="76">
        <f t="shared" si="11"/>
        <v>0</v>
      </c>
      <c r="G177" s="181"/>
      <c r="H177" s="2266"/>
      <c r="I177" s="2573"/>
    </row>
    <row r="178" spans="1:9" x14ac:dyDescent="0.2">
      <c r="A178" s="2259"/>
      <c r="B178" s="2506"/>
      <c r="C178" s="281" t="str">
        <f>OF!C29</f>
        <v>1 to 10 hectares.</v>
      </c>
      <c r="D178" s="558">
        <f>OF!D29</f>
        <v>0</v>
      </c>
      <c r="E178" s="76">
        <v>4</v>
      </c>
      <c r="F178" s="76">
        <f t="shared" si="11"/>
        <v>0</v>
      </c>
      <c r="G178" s="181"/>
      <c r="H178" s="2266"/>
      <c r="I178" s="2573"/>
    </row>
    <row r="179" spans="1:9" x14ac:dyDescent="0.2">
      <c r="A179" s="2259"/>
      <c r="B179" s="2506"/>
      <c r="C179" s="281" t="str">
        <f>OF!C30</f>
        <v>10 to 100 hectares.</v>
      </c>
      <c r="D179" s="558">
        <f>OF!D30</f>
        <v>0</v>
      </c>
      <c r="E179" s="76">
        <v>2</v>
      </c>
      <c r="F179" s="76">
        <f t="shared" si="11"/>
        <v>0</v>
      </c>
      <c r="G179" s="181"/>
      <c r="H179" s="2266"/>
      <c r="I179" s="2573"/>
    </row>
    <row r="180" spans="1:9" x14ac:dyDescent="0.2">
      <c r="A180" s="2259"/>
      <c r="B180" s="2506"/>
      <c r="C180" s="281" t="str">
        <f>OF!C31</f>
        <v>100 to 1000 hectares.</v>
      </c>
      <c r="D180" s="558">
        <f>OF!D31</f>
        <v>0</v>
      </c>
      <c r="E180" s="76">
        <v>1</v>
      </c>
      <c r="F180" s="76">
        <f t="shared" si="11"/>
        <v>0</v>
      </c>
      <c r="G180" s="181"/>
      <c r="H180" s="2266"/>
      <c r="I180" s="2573"/>
    </row>
    <row r="181" spans="1:9" ht="17.25" thickBot="1" x14ac:dyDescent="0.25">
      <c r="A181" s="2260"/>
      <c r="B181" s="2507"/>
      <c r="C181" s="249" t="str">
        <f>OF!C32</f>
        <v>&gt;1000 hectares. [This is nearly always the answer in relatively undeveloped landscapes.]</v>
      </c>
      <c r="D181" s="794">
        <f>OF!D32</f>
        <v>0</v>
      </c>
      <c r="E181" s="77">
        <v>0</v>
      </c>
      <c r="F181" s="77">
        <f t="shared" si="11"/>
        <v>0</v>
      </c>
      <c r="G181" s="182"/>
      <c r="H181" s="2266"/>
      <c r="I181" s="2574"/>
    </row>
    <row r="182" spans="1:9" ht="39" thickBot="1" x14ac:dyDescent="0.25">
      <c r="A182" s="2259" t="str">
        <f>OF!A33</f>
        <v>OF5</v>
      </c>
      <c r="B182" s="2508"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v>
      </c>
      <c r="H182" s="2271" t="s">
        <v>2604</v>
      </c>
      <c r="I182" s="2572" t="s">
        <v>2605</v>
      </c>
    </row>
    <row r="183" spans="1:9" ht="51" x14ac:dyDescent="0.2">
      <c r="A183" s="2259"/>
      <c r="B183" s="250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266"/>
      <c r="I183" s="2573"/>
    </row>
    <row r="184" spans="1:9" ht="25.5" x14ac:dyDescent="0.2">
      <c r="A184" s="2259"/>
      <c r="B184" s="2506"/>
      <c r="C184" s="281" t="str">
        <f>OF!C35</f>
        <v>&lt;50 m, but completely separated from the 375-ha vegetated area by those features, and AA does not contain &gt;375 ha of vegetation.</v>
      </c>
      <c r="D184" s="558">
        <f>OF!D35</f>
        <v>0</v>
      </c>
      <c r="E184" s="76">
        <v>7</v>
      </c>
      <c r="F184" s="76">
        <f t="shared" si="12"/>
        <v>0</v>
      </c>
      <c r="G184" s="181"/>
      <c r="H184" s="2266"/>
      <c r="I184" s="2573"/>
    </row>
    <row r="185" spans="1:9" x14ac:dyDescent="0.2">
      <c r="A185" s="2259"/>
      <c r="B185" s="2506"/>
      <c r="C185" s="281" t="str">
        <f>OF!C36</f>
        <v>50-500 m, and not separated.</v>
      </c>
      <c r="D185" s="558">
        <f>OF!D36</f>
        <v>0</v>
      </c>
      <c r="E185" s="76">
        <v>6</v>
      </c>
      <c r="F185" s="76">
        <f t="shared" si="12"/>
        <v>0</v>
      </c>
      <c r="G185" s="181"/>
      <c r="H185" s="2266"/>
      <c r="I185" s="2573"/>
    </row>
    <row r="186" spans="1:9" x14ac:dyDescent="0.2">
      <c r="A186" s="2259"/>
      <c r="B186" s="2506"/>
      <c r="C186" s="281" t="str">
        <f>OF!C37</f>
        <v>50-500 m, but separated by those features.</v>
      </c>
      <c r="D186" s="558">
        <f>OF!D37</f>
        <v>0</v>
      </c>
      <c r="E186" s="76">
        <v>4</v>
      </c>
      <c r="F186" s="76">
        <f t="shared" si="12"/>
        <v>0</v>
      </c>
      <c r="G186" s="181"/>
      <c r="H186" s="2266"/>
      <c r="I186" s="2573"/>
    </row>
    <row r="187" spans="1:9" x14ac:dyDescent="0.2">
      <c r="A187" s="2259"/>
      <c r="B187" s="2506"/>
      <c r="C187" s="281" t="str">
        <f>OF!C38</f>
        <v>0.5 - 5 km, and not separated.</v>
      </c>
      <c r="D187" s="558">
        <f>OF!D38</f>
        <v>0</v>
      </c>
      <c r="E187" s="76">
        <v>2</v>
      </c>
      <c r="F187" s="76">
        <f t="shared" si="12"/>
        <v>0</v>
      </c>
      <c r="G187" s="181"/>
      <c r="H187" s="2266"/>
      <c r="I187" s="2573"/>
    </row>
    <row r="188" spans="1:9" x14ac:dyDescent="0.2">
      <c r="A188" s="2259"/>
      <c r="B188" s="2506"/>
      <c r="C188" s="281" t="str">
        <f>OF!C39</f>
        <v>0.5 - 5 km, but separated by those features.</v>
      </c>
      <c r="D188" s="558">
        <f>OF!D39</f>
        <v>0</v>
      </c>
      <c r="E188" s="76">
        <v>1</v>
      </c>
      <c r="F188" s="76">
        <f t="shared" si="12"/>
        <v>0</v>
      </c>
      <c r="G188" s="181"/>
      <c r="H188" s="2266"/>
      <c r="I188" s="2573"/>
    </row>
    <row r="189" spans="1:9" ht="17.25" thickBot="1" x14ac:dyDescent="0.25">
      <c r="A189" s="2259"/>
      <c r="B189" s="2509"/>
      <c r="C189" s="151" t="str">
        <f>OF!C40</f>
        <v>None of the above (the closest patches or corridors which are that large are &gt;5 km away).</v>
      </c>
      <c r="D189" s="557">
        <f>OF!D40</f>
        <v>0</v>
      </c>
      <c r="E189" s="79">
        <v>0</v>
      </c>
      <c r="F189" s="79">
        <f t="shared" si="12"/>
        <v>0</v>
      </c>
      <c r="G189" s="242"/>
      <c r="H189" s="2267"/>
      <c r="I189" s="2574"/>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2608</v>
      </c>
      <c r="I191" s="265" t="s">
        <v>2609</v>
      </c>
    </row>
    <row r="192" spans="1:9" ht="51.75" thickBot="1" x14ac:dyDescent="0.25">
      <c r="A192" s="2258" t="str">
        <f>OF!A46</f>
        <v>OF8</v>
      </c>
      <c r="B192" s="250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v>
      </c>
      <c r="H192" s="2271" t="s">
        <v>2602</v>
      </c>
      <c r="I192" s="2572" t="s">
        <v>2610</v>
      </c>
    </row>
    <row r="193" spans="1:10" x14ac:dyDescent="0.2">
      <c r="A193" s="2259"/>
      <c r="B193" s="2506"/>
      <c r="C193" s="281" t="str">
        <f>OF!C47</f>
        <v xml:space="preserve">&lt;5% of the land. </v>
      </c>
      <c r="D193" s="558">
        <f>OF!D47</f>
        <v>0</v>
      </c>
      <c r="E193" s="76">
        <v>6</v>
      </c>
      <c r="F193" s="76">
        <f t="shared" si="12"/>
        <v>0</v>
      </c>
      <c r="G193" s="243"/>
      <c r="H193" s="2266"/>
      <c r="I193" s="2573"/>
    </row>
    <row r="194" spans="1:10" x14ac:dyDescent="0.2">
      <c r="A194" s="2259"/>
      <c r="B194" s="2506"/>
      <c r="C194" s="281" t="str">
        <f>OF!C48</f>
        <v>5 to 20% of the land.</v>
      </c>
      <c r="D194" s="558">
        <f>OF!D48</f>
        <v>0</v>
      </c>
      <c r="E194" s="76">
        <v>4</v>
      </c>
      <c r="F194" s="76">
        <f t="shared" si="12"/>
        <v>0</v>
      </c>
      <c r="G194" s="181"/>
      <c r="H194" s="2266"/>
      <c r="I194" s="2573"/>
    </row>
    <row r="195" spans="1:10" x14ac:dyDescent="0.2">
      <c r="A195" s="2259"/>
      <c r="B195" s="2506"/>
      <c r="C195" s="281" t="str">
        <f>OF!C49</f>
        <v>20 to 60% of the land.</v>
      </c>
      <c r="D195" s="558">
        <f>OF!D49</f>
        <v>0</v>
      </c>
      <c r="E195" s="76">
        <v>3</v>
      </c>
      <c r="F195" s="76">
        <f t="shared" si="12"/>
        <v>0</v>
      </c>
      <c r="G195" s="181"/>
      <c r="H195" s="2266"/>
      <c r="I195" s="2573"/>
    </row>
    <row r="196" spans="1:10" x14ac:dyDescent="0.2">
      <c r="A196" s="2259"/>
      <c r="B196" s="2506"/>
      <c r="C196" s="281" t="str">
        <f>OF!C50</f>
        <v>60 to 90% of the land.</v>
      </c>
      <c r="D196" s="558">
        <f>OF!D50</f>
        <v>0</v>
      </c>
      <c r="E196" s="76">
        <v>2</v>
      </c>
      <c r="F196" s="76">
        <f t="shared" si="12"/>
        <v>0</v>
      </c>
      <c r="G196" s="181"/>
      <c r="H196" s="2266"/>
      <c r="I196" s="2573"/>
    </row>
    <row r="197" spans="1:10" ht="17.25" thickBot="1" x14ac:dyDescent="0.25">
      <c r="A197" s="2260"/>
      <c r="B197" s="2507"/>
      <c r="C197" s="249" t="str">
        <f>OF!C51</f>
        <v xml:space="preserve">&gt;90% of the land. </v>
      </c>
      <c r="D197" s="794">
        <f>OF!D51</f>
        <v>0</v>
      </c>
      <c r="E197" s="77">
        <v>0</v>
      </c>
      <c r="F197" s="77">
        <f t="shared" si="12"/>
        <v>0</v>
      </c>
      <c r="G197" s="182"/>
      <c r="H197" s="2266"/>
      <c r="I197" s="2574"/>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34" t="s">
        <v>2617</v>
      </c>
      <c r="E202" s="2735"/>
      <c r="F202" s="2736"/>
      <c r="G202" s="655">
        <f>AVERAGE(WidthPD, SizePD, SizeVegConnec15, SeasWpctPD, Depth15)</f>
        <v>0</v>
      </c>
      <c r="H202" s="656" t="s">
        <v>2618</v>
      </c>
      <c r="I202" s="322" t="s">
        <v>2619</v>
      </c>
      <c r="J202" s="297" t="s">
        <v>2620</v>
      </c>
    </row>
    <row r="203" spans="1:10" ht="25.5" x14ac:dyDescent="0.2">
      <c r="A203" s="6"/>
      <c r="B203" s="6"/>
      <c r="C203" s="6"/>
      <c r="D203" s="2737" t="s">
        <v>1838</v>
      </c>
      <c r="E203" s="2738"/>
      <c r="F203" s="2739"/>
      <c r="G203" s="657">
        <f>AVERAGE(BeaverPD, DistBig15,VegPct5k15, PondProx15)</f>
        <v>0</v>
      </c>
      <c r="H203" s="658" t="s">
        <v>8592</v>
      </c>
      <c r="I203" s="323" t="s">
        <v>2621</v>
      </c>
      <c r="J203" s="295" t="s">
        <v>2622</v>
      </c>
    </row>
    <row r="204" spans="1:10" ht="51" x14ac:dyDescent="0.2">
      <c r="A204" s="6"/>
      <c r="B204" s="6"/>
      <c r="C204" s="6"/>
      <c r="D204" s="2729" t="s">
        <v>2623</v>
      </c>
      <c r="E204" s="2730"/>
      <c r="F204" s="2730"/>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31" t="s">
        <v>1842</v>
      </c>
      <c r="E205" s="2732"/>
      <c r="F205" s="2733"/>
      <c r="G205" s="717">
        <f>(2*Invas15 + AVERAGE(Core1pd, Core2pd, BMPsoils20,WeedSourcePD) + AVERAGE(PopCtr15, DistRdPD) + AVERAGE(AltTime20, Toxic20,SedDep20,SedDisturb20,NatVegCApd))/5</f>
        <v>0.15333333333333335</v>
      </c>
      <c r="H205" s="718" t="s">
        <v>2626</v>
      </c>
      <c r="I205" s="719" t="s">
        <v>2627</v>
      </c>
      <c r="J205" s="298" t="s">
        <v>2628</v>
      </c>
    </row>
    <row r="206" spans="1:10" ht="51.75" thickBot="1" x14ac:dyDescent="0.25">
      <c r="A206" s="2315"/>
      <c r="B206" s="2316"/>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15"/>
      <c r="B207" s="2316"/>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A67:A72"/>
    <mergeCell ref="H67:H72"/>
    <mergeCell ref="B67:B72"/>
    <mergeCell ref="H132:H135"/>
    <mergeCell ref="B132:B135"/>
    <mergeCell ref="A132:A135"/>
    <mergeCell ref="H76:H81"/>
    <mergeCell ref="H82:H86"/>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154:A158"/>
    <mergeCell ref="B154:B158"/>
    <mergeCell ref="A136:A141"/>
    <mergeCell ref="B136:B141"/>
    <mergeCell ref="H110:H115"/>
    <mergeCell ref="H116:H122"/>
    <mergeCell ref="H142:H146"/>
    <mergeCell ref="H147:H153"/>
    <mergeCell ref="H154:H158"/>
    <mergeCell ref="H123:H126"/>
    <mergeCell ref="H128:H131"/>
    <mergeCell ref="H136:H141"/>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B1"/>
    <mergeCell ref="A32:A37"/>
    <mergeCell ref="A38:A44"/>
    <mergeCell ref="A10:A17"/>
    <mergeCell ref="A18:A25"/>
    <mergeCell ref="A3:A9"/>
    <mergeCell ref="B3:B9"/>
    <mergeCell ref="B26:B31"/>
    <mergeCell ref="B32:B37"/>
    <mergeCell ref="B10:B17"/>
    <mergeCell ref="B38:B44"/>
    <mergeCell ref="B18:B25"/>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D204:F204"/>
    <mergeCell ref="D205:F205"/>
    <mergeCell ref="H182:H189"/>
    <mergeCell ref="B182:B189"/>
    <mergeCell ref="H174:H181"/>
    <mergeCell ref="B174:B181"/>
    <mergeCell ref="D202:F202"/>
    <mergeCell ref="D203:F203"/>
    <mergeCell ref="A192:A197"/>
    <mergeCell ref="H167:H173"/>
    <mergeCell ref="B167:B173"/>
    <mergeCell ref="H192:H197"/>
    <mergeCell ref="B192:B197"/>
    <mergeCell ref="I182:I189"/>
    <mergeCell ref="I174:I181"/>
    <mergeCell ref="I167:I173"/>
    <mergeCell ref="A174:A181"/>
    <mergeCell ref="A182:A189"/>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51" t="s">
        <v>2701</v>
      </c>
      <c r="B1" s="2752"/>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2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v>
      </c>
      <c r="H3" s="2618" t="s">
        <v>8962</v>
      </c>
      <c r="I3" s="64" t="s">
        <v>2703</v>
      </c>
    </row>
    <row r="4" spans="1:9" s="10" customFormat="1" ht="51" x14ac:dyDescent="0.2">
      <c r="A4" s="1549"/>
      <c r="B4" s="262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18"/>
      <c r="I4" s="64"/>
    </row>
    <row r="5" spans="1:9" s="10" customFormat="1" ht="25.5" x14ac:dyDescent="0.2">
      <c r="A5" s="1549"/>
      <c r="B5" s="2627"/>
      <c r="C5" s="766" t="str">
        <f>OF!C35</f>
        <v>&lt;50 m, but completely separated from the 375-ha vegetated area by those features, and AA does not contain &gt;375 ha of vegetation.</v>
      </c>
      <c r="D5" s="399">
        <f>OF!D35</f>
        <v>0</v>
      </c>
      <c r="E5" s="78">
        <v>5</v>
      </c>
      <c r="F5" s="26">
        <f t="shared" si="0"/>
        <v>0</v>
      </c>
      <c r="G5" s="243"/>
      <c r="H5" s="2618"/>
      <c r="I5" s="64"/>
    </row>
    <row r="6" spans="1:9" s="10" customFormat="1" ht="13.5" x14ac:dyDescent="0.2">
      <c r="A6" s="1549"/>
      <c r="B6" s="2627"/>
      <c r="C6" s="766" t="str">
        <f>OF!C36</f>
        <v>50-500 m, and not separated.</v>
      </c>
      <c r="D6" s="399">
        <f>OF!D36</f>
        <v>0</v>
      </c>
      <c r="E6" s="78">
        <v>4</v>
      </c>
      <c r="F6" s="26">
        <f t="shared" si="0"/>
        <v>0</v>
      </c>
      <c r="G6" s="243"/>
      <c r="H6" s="2618"/>
      <c r="I6" s="64"/>
    </row>
    <row r="7" spans="1:9" s="10" customFormat="1" ht="13.5" x14ac:dyDescent="0.2">
      <c r="A7" s="1549"/>
      <c r="B7" s="2627"/>
      <c r="C7" s="766" t="str">
        <f>OF!C37</f>
        <v>50-500 m, but separated by those features.</v>
      </c>
      <c r="D7" s="399">
        <f>OF!D37</f>
        <v>0</v>
      </c>
      <c r="E7" s="78">
        <v>3</v>
      </c>
      <c r="F7" s="26">
        <f t="shared" si="0"/>
        <v>0</v>
      </c>
      <c r="G7" s="243"/>
      <c r="H7" s="2618"/>
      <c r="I7" s="64"/>
    </row>
    <row r="8" spans="1:9" s="10" customFormat="1" ht="13.5" x14ac:dyDescent="0.2">
      <c r="A8" s="1549"/>
      <c r="B8" s="2627"/>
      <c r="C8" s="766" t="str">
        <f>OF!C38</f>
        <v>0.5 - 5 km, and not separated.</v>
      </c>
      <c r="D8" s="399">
        <f>OF!D38</f>
        <v>0</v>
      </c>
      <c r="E8" s="78">
        <v>2</v>
      </c>
      <c r="F8" s="26">
        <f t="shared" si="0"/>
        <v>0</v>
      </c>
      <c r="G8" s="243"/>
      <c r="H8" s="2618"/>
      <c r="I8" s="64"/>
    </row>
    <row r="9" spans="1:9" s="10" customFormat="1" ht="13.5" x14ac:dyDescent="0.2">
      <c r="A9" s="1549"/>
      <c r="B9" s="2627"/>
      <c r="C9" s="766" t="str">
        <f>OF!C39</f>
        <v>0.5 - 5 km, but separated by those features.</v>
      </c>
      <c r="D9" s="399">
        <f>OF!D39</f>
        <v>0</v>
      </c>
      <c r="E9" s="78">
        <v>1</v>
      </c>
      <c r="F9" s="26">
        <f t="shared" si="0"/>
        <v>0</v>
      </c>
      <c r="G9" s="243"/>
      <c r="H9" s="2618"/>
      <c r="I9" s="64"/>
    </row>
    <row r="10" spans="1:9" s="10" customFormat="1" ht="14.25" thickBot="1" x14ac:dyDescent="0.25">
      <c r="A10" s="1549"/>
      <c r="B10" s="2628"/>
      <c r="C10" s="1356" t="str">
        <f>OF!C40</f>
        <v>None of the above (the closest patches or corridors which are that large are &gt;5 km away).</v>
      </c>
      <c r="D10" s="411">
        <f>OF!D40</f>
        <v>0</v>
      </c>
      <c r="E10" s="83">
        <v>0</v>
      </c>
      <c r="F10" s="25">
        <f t="shared" si="0"/>
        <v>0</v>
      </c>
      <c r="G10" s="1412"/>
      <c r="H10" s="2618"/>
      <c r="I10" s="282"/>
    </row>
    <row r="11" spans="1:9" s="7" customFormat="1" ht="54.75" thickBot="1" x14ac:dyDescent="0.25">
      <c r="A11" s="1550" t="str">
        <f>OF!A46</f>
        <v>OF8</v>
      </c>
      <c r="B11" s="2749"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v>
      </c>
      <c r="H11" s="2617" t="s">
        <v>8965</v>
      </c>
      <c r="I11" s="283" t="s">
        <v>2704</v>
      </c>
    </row>
    <row r="12" spans="1:9" s="7" customFormat="1" ht="13.5" x14ac:dyDescent="0.2">
      <c r="A12" s="1549"/>
      <c r="B12" s="2627"/>
      <c r="C12" s="596" t="str">
        <f>OF!C47</f>
        <v xml:space="preserve">&lt;5% of the land. </v>
      </c>
      <c r="D12" s="866">
        <f>OF!D47</f>
        <v>0</v>
      </c>
      <c r="E12" s="78">
        <v>0</v>
      </c>
      <c r="F12" s="26">
        <f>D12*E12</f>
        <v>0</v>
      </c>
      <c r="G12" s="243"/>
      <c r="H12" s="2618"/>
      <c r="I12" s="64"/>
    </row>
    <row r="13" spans="1:9" s="7" customFormat="1" ht="13.5" x14ac:dyDescent="0.2">
      <c r="A13" s="1549"/>
      <c r="B13" s="2627"/>
      <c r="C13" s="597" t="str">
        <f>OF!C48</f>
        <v>5 to 20% of the land.</v>
      </c>
      <c r="D13" s="867">
        <f>OF!D48</f>
        <v>0</v>
      </c>
      <c r="E13" s="78">
        <v>1</v>
      </c>
      <c r="F13" s="26">
        <f>D13*E13</f>
        <v>0</v>
      </c>
      <c r="G13" s="243"/>
      <c r="H13" s="2618"/>
      <c r="I13" s="64"/>
    </row>
    <row r="14" spans="1:9" s="7" customFormat="1" ht="13.5" x14ac:dyDescent="0.2">
      <c r="A14" s="1549"/>
      <c r="B14" s="2627"/>
      <c r="C14" s="597" t="str">
        <f>OF!C49</f>
        <v>20 to 60% of the land.</v>
      </c>
      <c r="D14" s="867">
        <f>OF!D49</f>
        <v>0</v>
      </c>
      <c r="E14" s="78">
        <v>2</v>
      </c>
      <c r="F14" s="26">
        <f>D14*E14</f>
        <v>0</v>
      </c>
      <c r="G14" s="243"/>
      <c r="H14" s="2618"/>
      <c r="I14" s="64"/>
    </row>
    <row r="15" spans="1:9" s="7" customFormat="1" ht="13.5" x14ac:dyDescent="0.2">
      <c r="A15" s="1549"/>
      <c r="B15" s="2627"/>
      <c r="C15" s="597" t="str">
        <f>OF!C50</f>
        <v>60 to 90% of the land.</v>
      </c>
      <c r="D15" s="867">
        <f>OF!D50</f>
        <v>0</v>
      </c>
      <c r="E15" s="78">
        <v>4</v>
      </c>
      <c r="F15" s="26">
        <f>D15*E15</f>
        <v>0</v>
      </c>
      <c r="G15" s="243"/>
      <c r="H15" s="2618"/>
      <c r="I15" s="64"/>
    </row>
    <row r="16" spans="1:9" s="7" customFormat="1" ht="14.25" thickBot="1" x14ac:dyDescent="0.25">
      <c r="A16" s="1551"/>
      <c r="B16" s="2750"/>
      <c r="C16" s="598" t="str">
        <f>OF!C51</f>
        <v xml:space="preserve">&gt;90% of the land. </v>
      </c>
      <c r="D16" s="868">
        <f>OF!D51</f>
        <v>0</v>
      </c>
      <c r="E16" s="257">
        <v>5</v>
      </c>
      <c r="F16" s="67">
        <f>D16*E16</f>
        <v>0</v>
      </c>
      <c r="G16" s="572"/>
      <c r="H16" s="2619"/>
      <c r="I16" s="282"/>
    </row>
    <row r="17" spans="1:9" s="7" customFormat="1" ht="39" thickBot="1" x14ac:dyDescent="0.25">
      <c r="A17" s="1574" t="str">
        <f>F!A19</f>
        <v>F3</v>
      </c>
      <c r="B17" s="262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v>
      </c>
      <c r="H17" s="2618" t="s">
        <v>2705</v>
      </c>
      <c r="I17" s="64" t="s">
        <v>2706</v>
      </c>
    </row>
    <row r="18" spans="1:9" s="7" customFormat="1" ht="13.5" x14ac:dyDescent="0.2">
      <c r="A18" s="1574"/>
      <c r="B18" s="2627"/>
      <c r="C18" s="727" t="str">
        <f>F!C20</f>
        <v>evergreen trees (may include tamarack) taller than 6 m.</v>
      </c>
      <c r="D18" s="398">
        <f>F!D20</f>
        <v>0</v>
      </c>
      <c r="E18" s="76">
        <v>0</v>
      </c>
      <c r="F18" s="26">
        <f t="shared" ref="F18:F27" si="1">D18*E18</f>
        <v>0</v>
      </c>
      <c r="G18" s="869">
        <f>MAX(F18:F23)</f>
        <v>0</v>
      </c>
      <c r="H18" s="2618"/>
      <c r="I18" s="64"/>
    </row>
    <row r="19" spans="1:9" s="7" customFormat="1" ht="13.5" x14ac:dyDescent="0.2">
      <c r="A19" s="1574"/>
      <c r="B19" s="2627"/>
      <c r="C19" s="766" t="str">
        <f>F!C21</f>
        <v>deciduous trees taller than 6 m.</v>
      </c>
      <c r="D19" s="399">
        <f>F!D21</f>
        <v>0</v>
      </c>
      <c r="E19" s="76">
        <v>1</v>
      </c>
      <c r="F19" s="26">
        <f t="shared" si="1"/>
        <v>0</v>
      </c>
      <c r="G19" s="869"/>
      <c r="H19" s="2618"/>
      <c r="I19" s="64"/>
    </row>
    <row r="20" spans="1:9" s="7" customFormat="1" ht="13.5" x14ac:dyDescent="0.2">
      <c r="A20" s="1574"/>
      <c r="B20" s="2627"/>
      <c r="C20" s="766" t="str">
        <f>F!C22</f>
        <v>evergreen shrubs or trees 2 to 6 m tall not directly below the canopy of trees.</v>
      </c>
      <c r="D20" s="399">
        <f>F!D22</f>
        <v>0</v>
      </c>
      <c r="E20" s="76">
        <v>3</v>
      </c>
      <c r="F20" s="26">
        <f t="shared" si="1"/>
        <v>0</v>
      </c>
      <c r="G20" s="869"/>
      <c r="H20" s="2618"/>
      <c r="I20" s="64"/>
    </row>
    <row r="21" spans="1:9" s="7" customFormat="1" ht="13.5" x14ac:dyDescent="0.2">
      <c r="A21" s="1574"/>
      <c r="B21" s="2627"/>
      <c r="C21" s="766" t="str">
        <f>F!C23</f>
        <v>deciduous shrubs or trees 2 to 6 m tall not directly below the canopy of trees.</v>
      </c>
      <c r="D21" s="399">
        <f>F!D23</f>
        <v>0</v>
      </c>
      <c r="E21" s="76">
        <v>4</v>
      </c>
      <c r="F21" s="26">
        <f t="shared" si="1"/>
        <v>0</v>
      </c>
      <c r="G21" s="869"/>
      <c r="H21" s="2618"/>
      <c r="I21" s="64"/>
    </row>
    <row r="22" spans="1:9" s="7" customFormat="1" ht="13.5" x14ac:dyDescent="0.2">
      <c r="A22" s="1574"/>
      <c r="B22" s="2627"/>
      <c r="C22" s="766" t="str">
        <f>F!C24</f>
        <v>evergreen vegetation 0.5 to 2 m tall not directly below the canopy of taller vegetation.</v>
      </c>
      <c r="D22" s="399">
        <f>F!D24</f>
        <v>0</v>
      </c>
      <c r="E22" s="76">
        <v>5</v>
      </c>
      <c r="F22" s="26">
        <f t="shared" si="1"/>
        <v>0</v>
      </c>
      <c r="G22" s="869"/>
      <c r="H22" s="2618"/>
      <c r="I22" s="64"/>
    </row>
    <row r="23" spans="1:9" s="7" customFormat="1" ht="26.25" thickBot="1" x14ac:dyDescent="0.25">
      <c r="A23" s="1574"/>
      <c r="B23" s="2628"/>
      <c r="C23" s="1356" t="str">
        <f>F!C25</f>
        <v>deciduous vegetation 0.5 to 2 m tall (e.g., deciduous seedlings) not directly below the canopy of taller vegetation.</v>
      </c>
      <c r="D23" s="411">
        <f>F!D25</f>
        <v>0</v>
      </c>
      <c r="E23" s="79">
        <v>5</v>
      </c>
      <c r="F23" s="25">
        <f t="shared" si="1"/>
        <v>0</v>
      </c>
      <c r="G23" s="870"/>
      <c r="H23" s="2618"/>
      <c r="I23" s="64"/>
    </row>
    <row r="24" spans="1:9" s="7" customFormat="1" ht="39" thickBot="1" x14ac:dyDescent="0.25">
      <c r="A24" s="2265" t="str">
        <f>F!A28</f>
        <v>F4</v>
      </c>
      <c r="B24" s="250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617" t="s">
        <v>8682</v>
      </c>
      <c r="I24" s="283" t="s">
        <v>2707</v>
      </c>
    </row>
    <row r="25" spans="1:9" s="7" customFormat="1" ht="25.5" x14ac:dyDescent="0.2">
      <c r="A25" s="2262"/>
      <c r="B25" s="2506"/>
      <c r="C25" s="766" t="str">
        <f>F!C29</f>
        <v>Those 2 genera together comprise &gt; 80% of woody cover shorter than 5 ft. Low woody cover is monotypic or nearly so.</v>
      </c>
      <c r="D25" s="399">
        <f>F!D29</f>
        <v>0</v>
      </c>
      <c r="E25" s="76">
        <v>0</v>
      </c>
      <c r="F25" s="25">
        <f t="shared" si="1"/>
        <v>0</v>
      </c>
      <c r="G25" s="869"/>
      <c r="H25" s="2618"/>
      <c r="I25" s="64"/>
    </row>
    <row r="26" spans="1:9" s="7" customFormat="1" x14ac:dyDescent="0.2">
      <c r="A26" s="2262"/>
      <c r="B26" s="2506"/>
      <c r="C26" s="766" t="str">
        <f>F!C30</f>
        <v xml:space="preserve">Those 2 genera together comprise 50-80% of low woody cover.  </v>
      </c>
      <c r="D26" s="399">
        <f>F!D30</f>
        <v>0</v>
      </c>
      <c r="E26" s="76">
        <v>2</v>
      </c>
      <c r="F26" s="25">
        <f t="shared" si="1"/>
        <v>0</v>
      </c>
      <c r="G26" s="869"/>
      <c r="H26" s="2618"/>
      <c r="I26" s="64"/>
    </row>
    <row r="27" spans="1:9" s="7" customFormat="1" ht="26.25" thickBot="1" x14ac:dyDescent="0.25">
      <c r="A27" s="2263"/>
      <c r="B27" s="2507"/>
      <c r="C27" s="767" t="str">
        <f>F!C31</f>
        <v>No 2 genera together comprise &gt; 50% of low woody cover.  Several low woody genera are significantly present.</v>
      </c>
      <c r="D27" s="400">
        <f>F!D31</f>
        <v>0</v>
      </c>
      <c r="E27" s="77">
        <v>3</v>
      </c>
      <c r="F27" s="67">
        <f t="shared" si="1"/>
        <v>0</v>
      </c>
      <c r="G27" s="871"/>
      <c r="H27" s="2619"/>
      <c r="I27" s="282"/>
    </row>
    <row r="28" spans="1:9" ht="39" thickBot="1" x14ac:dyDescent="0.25">
      <c r="A28" s="1173" t="str">
        <f>F!A33</f>
        <v>F5</v>
      </c>
      <c r="B28" s="2508"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266" t="s">
        <v>2708</v>
      </c>
      <c r="I28" s="64" t="s">
        <v>2709</v>
      </c>
    </row>
    <row r="29" spans="1:9" x14ac:dyDescent="0.2">
      <c r="A29" s="1173"/>
      <c r="B29" s="2506"/>
      <c r="C29" s="150" t="str">
        <f>F!C34</f>
        <v>coniferous, 1-9 cm diameter and &gt;1 m tall.</v>
      </c>
      <c r="D29" s="398">
        <f>F!D34</f>
        <v>0</v>
      </c>
      <c r="E29" s="180">
        <v>0</v>
      </c>
      <c r="F29" s="26">
        <f t="shared" ref="F29:F36" si="2">D29*E29</f>
        <v>0</v>
      </c>
      <c r="G29" s="872"/>
      <c r="H29" s="2266"/>
      <c r="I29" s="64"/>
    </row>
    <row r="30" spans="1:9" x14ac:dyDescent="0.2">
      <c r="A30" s="1173"/>
      <c r="B30" s="2506"/>
      <c r="C30" s="281" t="str">
        <f>F!C35</f>
        <v>broad-leaved deciduous 1-9 cm diameter and &gt;1 m tall.</v>
      </c>
      <c r="D30" s="399">
        <f>F!D35</f>
        <v>0</v>
      </c>
      <c r="E30" s="180">
        <v>1</v>
      </c>
      <c r="F30" s="26">
        <f t="shared" si="2"/>
        <v>0</v>
      </c>
      <c r="G30" s="873"/>
      <c r="H30" s="2266"/>
      <c r="I30" s="64"/>
    </row>
    <row r="31" spans="1:9" x14ac:dyDescent="0.2">
      <c r="A31" s="1173"/>
      <c r="B31" s="2506"/>
      <c r="C31" s="281" t="str">
        <f>F!C36</f>
        <v>coniferous, 10-19 cm diameter.</v>
      </c>
      <c r="D31" s="399">
        <f>F!D36</f>
        <v>0</v>
      </c>
      <c r="E31" s="180">
        <v>2</v>
      </c>
      <c r="F31" s="26">
        <f t="shared" si="2"/>
        <v>0</v>
      </c>
      <c r="G31" s="873"/>
      <c r="H31" s="2266"/>
      <c r="I31" s="64"/>
    </row>
    <row r="32" spans="1:9" x14ac:dyDescent="0.2">
      <c r="A32" s="1173"/>
      <c r="B32" s="2506"/>
      <c r="C32" s="281" t="str">
        <f>F!C37</f>
        <v>broad-leaved deciduous 10-19 cm diameter.</v>
      </c>
      <c r="D32" s="399">
        <f>F!D37</f>
        <v>0</v>
      </c>
      <c r="E32" s="180">
        <v>3</v>
      </c>
      <c r="F32" s="26">
        <f t="shared" si="2"/>
        <v>0</v>
      </c>
      <c r="G32" s="873"/>
      <c r="H32" s="2266"/>
      <c r="I32" s="64"/>
    </row>
    <row r="33" spans="1:9" x14ac:dyDescent="0.2">
      <c r="A33" s="1173"/>
      <c r="B33" s="2506"/>
      <c r="C33" s="281" t="str">
        <f>F!C38</f>
        <v>coniferous, 20-40 cm diameter.</v>
      </c>
      <c r="D33" s="399">
        <f>F!D38</f>
        <v>0</v>
      </c>
      <c r="E33" s="180">
        <v>4</v>
      </c>
      <c r="F33" s="26">
        <f t="shared" si="2"/>
        <v>0</v>
      </c>
      <c r="G33" s="873"/>
      <c r="H33" s="2266"/>
      <c r="I33" s="64"/>
    </row>
    <row r="34" spans="1:9" x14ac:dyDescent="0.2">
      <c r="A34" s="1173"/>
      <c r="B34" s="2506"/>
      <c r="C34" s="281" t="str">
        <f>F!C39</f>
        <v>broad-leaved deciduous 20-40 cm diameter.</v>
      </c>
      <c r="D34" s="399">
        <f>F!D39</f>
        <v>0</v>
      </c>
      <c r="E34" s="180">
        <v>6</v>
      </c>
      <c r="F34" s="26">
        <f t="shared" si="2"/>
        <v>0</v>
      </c>
      <c r="G34" s="873"/>
      <c r="H34" s="2266"/>
      <c r="I34" s="64"/>
    </row>
    <row r="35" spans="1:9" x14ac:dyDescent="0.2">
      <c r="A35" s="1173"/>
      <c r="B35" s="2506"/>
      <c r="C35" s="281" t="str">
        <f>F!C40</f>
        <v>coniferous, &gt;40 cm diameter.</v>
      </c>
      <c r="D35" s="399">
        <f>F!D40</f>
        <v>0</v>
      </c>
      <c r="E35" s="180">
        <v>5</v>
      </c>
      <c r="F35" s="26">
        <f t="shared" si="2"/>
        <v>0</v>
      </c>
      <c r="G35" s="873"/>
      <c r="H35" s="2266"/>
      <c r="I35" s="64"/>
    </row>
    <row r="36" spans="1:9" ht="13.5" thickBot="1" x14ac:dyDescent="0.25">
      <c r="A36" s="1173"/>
      <c r="B36" s="2509"/>
      <c r="C36" s="151" t="str">
        <f>F!C41</f>
        <v>broad-leaved deciduous &gt;40 cm diameter.</v>
      </c>
      <c r="D36" s="411">
        <f>F!D41</f>
        <v>0</v>
      </c>
      <c r="E36" s="366">
        <v>8</v>
      </c>
      <c r="F36" s="25">
        <f t="shared" si="2"/>
        <v>0</v>
      </c>
      <c r="G36" s="876"/>
      <c r="H36" s="2266"/>
      <c r="I36" s="282"/>
    </row>
    <row r="37" spans="1:9" ht="26.25" thickBot="1" x14ac:dyDescent="0.25">
      <c r="A37" s="1150" t="str">
        <f>F!A56</f>
        <v>F8</v>
      </c>
      <c r="B37" s="2505" t="str">
        <f>F!B56</f>
        <v xml:space="preserve">Flowering Forb Cover [PH, POL] </v>
      </c>
      <c r="C37" s="863" t="str">
        <f>F!C56</f>
        <v>Within parts of the AA having herbaceous cover (excluding SAV), the areal cover of forbs reaches an annual maximum of:</v>
      </c>
      <c r="D37" s="784"/>
      <c r="E37" s="81"/>
      <c r="F37" s="66"/>
      <c r="G37" s="672" t="str">
        <f>IF((SUM(D38:D42)=0),"",MAX(F38:F42)/MAX(E38:E42))</f>
        <v/>
      </c>
      <c r="H37" s="2271" t="s">
        <v>2710</v>
      </c>
      <c r="I37" s="64" t="s">
        <v>2711</v>
      </c>
    </row>
    <row r="38" spans="1:9" x14ac:dyDescent="0.2">
      <c r="A38" s="1173"/>
      <c r="B38" s="2506"/>
      <c r="C38" s="766" t="str">
        <f>F!C57</f>
        <v xml:space="preserve">&lt;5% of the herbaceous part of the AA. </v>
      </c>
      <c r="D38" s="399">
        <f>F!D57</f>
        <v>0</v>
      </c>
      <c r="E38" s="94">
        <v>0</v>
      </c>
      <c r="F38" s="26">
        <f>D38*E38</f>
        <v>0</v>
      </c>
      <c r="G38" s="872"/>
      <c r="H38" s="2266"/>
      <c r="I38" s="64"/>
    </row>
    <row r="39" spans="1:9" x14ac:dyDescent="0.2">
      <c r="A39" s="1173"/>
      <c r="B39" s="2506"/>
      <c r="C39" s="766" t="str">
        <f>F!C58</f>
        <v>5-25% of the herbaceous part of the AA.</v>
      </c>
      <c r="D39" s="399">
        <f>F!D58</f>
        <v>0</v>
      </c>
      <c r="E39" s="94">
        <v>1</v>
      </c>
      <c r="F39" s="26">
        <f>D39*E39</f>
        <v>0</v>
      </c>
      <c r="G39" s="872"/>
      <c r="H39" s="2266"/>
      <c r="I39" s="64"/>
    </row>
    <row r="40" spans="1:9" x14ac:dyDescent="0.2">
      <c r="A40" s="1173"/>
      <c r="B40" s="2506"/>
      <c r="C40" s="766" t="str">
        <f>F!C59</f>
        <v>25-50% of the herbaceous part of the AA.</v>
      </c>
      <c r="D40" s="399">
        <f>F!D59</f>
        <v>0</v>
      </c>
      <c r="E40" s="94">
        <v>2</v>
      </c>
      <c r="F40" s="26">
        <f>D40*E40</f>
        <v>0</v>
      </c>
      <c r="G40" s="872"/>
      <c r="H40" s="2266"/>
      <c r="I40" s="64"/>
    </row>
    <row r="41" spans="1:9" x14ac:dyDescent="0.2">
      <c r="A41" s="1173"/>
      <c r="B41" s="2506"/>
      <c r="C41" s="766" t="str">
        <f>F!C60</f>
        <v>50-95% of the herbaceous part of the AA.</v>
      </c>
      <c r="D41" s="399">
        <f>F!D60</f>
        <v>0</v>
      </c>
      <c r="E41" s="94">
        <v>3</v>
      </c>
      <c r="F41" s="26">
        <f>D41*E41</f>
        <v>0</v>
      </c>
      <c r="G41" s="873"/>
      <c r="H41" s="2266"/>
      <c r="I41" s="64"/>
    </row>
    <row r="42" spans="1:9" ht="13.5" thickBot="1" x14ac:dyDescent="0.25">
      <c r="A42" s="1174"/>
      <c r="B42" s="2507"/>
      <c r="C42" s="767" t="str">
        <f>F!C61</f>
        <v>&gt;95% of the herbaceous part of the AA.</v>
      </c>
      <c r="D42" s="400">
        <f>F!D61</f>
        <v>0</v>
      </c>
      <c r="E42" s="98">
        <v>4</v>
      </c>
      <c r="F42" s="67">
        <f>D42*E42</f>
        <v>0</v>
      </c>
      <c r="G42" s="874"/>
      <c r="H42" s="2267"/>
      <c r="I42" s="64"/>
    </row>
    <row r="43" spans="1:9" ht="39" thickBot="1" x14ac:dyDescent="0.25">
      <c r="A43" s="1175" t="str">
        <f>F!A69</f>
        <v>F10</v>
      </c>
      <c r="B43" s="2508"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0</v>
      </c>
      <c r="H43" s="2266" t="s">
        <v>2712</v>
      </c>
      <c r="I43" s="283" t="s">
        <v>2713</v>
      </c>
    </row>
    <row r="44" spans="1:9" ht="25.5" x14ac:dyDescent="0.2">
      <c r="A44" s="1175"/>
      <c r="B44" s="2506"/>
      <c r="C44" s="150" t="str">
        <f>F!C70</f>
        <v>those species together comprise &gt; 50% of the areal cover of herbaceous plants at any time during the year.</v>
      </c>
      <c r="D44" s="398">
        <f>F!D70</f>
        <v>0</v>
      </c>
      <c r="E44" s="94">
        <v>0</v>
      </c>
      <c r="F44" s="26">
        <f>D44*E44</f>
        <v>0</v>
      </c>
      <c r="G44" s="873"/>
      <c r="H44" s="2266"/>
      <c r="I44" s="64"/>
    </row>
    <row r="45" spans="1:9" ht="26.25" thickBot="1" x14ac:dyDescent="0.25">
      <c r="A45" s="1175"/>
      <c r="B45" s="2509"/>
      <c r="C45" s="151" t="str">
        <f>F!C71</f>
        <v>those species together do not comprise &gt; 50% of the areal cover of herbaceous plants at any time during the year.</v>
      </c>
      <c r="D45" s="411">
        <f>F!D71</f>
        <v>0</v>
      </c>
      <c r="E45" s="96">
        <v>1</v>
      </c>
      <c r="F45" s="25">
        <f>D45*E45</f>
        <v>0</v>
      </c>
      <c r="G45" s="876"/>
      <c r="H45" s="2266"/>
      <c r="I45" s="282"/>
    </row>
    <row r="46" spans="1:9" ht="26.25" thickBot="1" x14ac:dyDescent="0.25">
      <c r="A46" s="1153" t="str">
        <f>F!A72</f>
        <v>F11</v>
      </c>
      <c r="B46" s="2505" t="str">
        <f>F!B72</f>
        <v>Invasive Plant Cover [PH, Sens]</v>
      </c>
      <c r="C46" s="63" t="str">
        <f>F!C72</f>
        <v>How extensive is the cover of invasive plant species in the AA?  For species, see Plants_invasive worksheet (tab).</v>
      </c>
      <c r="D46" s="574"/>
      <c r="E46" s="81"/>
      <c r="F46" s="66"/>
      <c r="G46" s="165">
        <f>MAX(F47:F50)/MAX(E47:E50)</f>
        <v>0</v>
      </c>
      <c r="H46" s="2271" t="s">
        <v>8963</v>
      </c>
      <c r="I46" s="283" t="s">
        <v>2714</v>
      </c>
    </row>
    <row r="47" spans="1:9" ht="25.5" x14ac:dyDescent="0.2">
      <c r="A47" s="1173"/>
      <c r="B47" s="2506"/>
      <c r="C47" s="150" t="str">
        <f>F!C73</f>
        <v>invasive species appear to be absent in the AA, or are present only in trace amount (a few individuals).</v>
      </c>
      <c r="D47" s="398">
        <f>F!D73</f>
        <v>0</v>
      </c>
      <c r="E47" s="94">
        <v>3</v>
      </c>
      <c r="F47" s="26">
        <f>D47*E47</f>
        <v>0</v>
      </c>
      <c r="G47" s="872"/>
      <c r="H47" s="2266"/>
      <c r="I47" s="64"/>
    </row>
    <row r="48" spans="1:9" ht="25.5" x14ac:dyDescent="0.2">
      <c r="A48" s="1173"/>
      <c r="B48" s="2506"/>
      <c r="C48" s="281" t="str">
        <f>F!C75</f>
        <v>invasive species comprise 5-20% of the herb cover (or woody cover, if the invasives are woody).</v>
      </c>
      <c r="D48" s="399">
        <f>F!D75</f>
        <v>0</v>
      </c>
      <c r="E48" s="94">
        <v>2</v>
      </c>
      <c r="F48" s="26">
        <f>D48*E48</f>
        <v>0</v>
      </c>
      <c r="G48" s="873"/>
      <c r="H48" s="2266"/>
      <c r="I48" s="64"/>
    </row>
    <row r="49" spans="1:9" ht="25.5" x14ac:dyDescent="0.2">
      <c r="A49" s="1173"/>
      <c r="B49" s="2506"/>
      <c r="C49" s="281" t="str">
        <f>F!C76</f>
        <v>invasive species comprise 20-50% of the herb cover  (or woody cover, if the invasives are woody).</v>
      </c>
      <c r="D49" s="399">
        <f>F!D76</f>
        <v>0</v>
      </c>
      <c r="E49" s="94">
        <v>1</v>
      </c>
      <c r="F49" s="26">
        <f>D49*E49</f>
        <v>0</v>
      </c>
      <c r="G49" s="873"/>
      <c r="H49" s="2266"/>
      <c r="I49" s="64"/>
    </row>
    <row r="50" spans="1:9" ht="26.25" thickBot="1" x14ac:dyDescent="0.25">
      <c r="A50" s="1174"/>
      <c r="B50" s="2507"/>
      <c r="C50" s="249" t="str">
        <f>F!C77</f>
        <v>invasive species comprise &gt;50% of the herb cover  (or woody cover, if the invasives are woody).</v>
      </c>
      <c r="D50" s="400">
        <f>F!D77</f>
        <v>0</v>
      </c>
      <c r="E50" s="98">
        <v>0</v>
      </c>
      <c r="F50" s="67">
        <f>D50*E50</f>
        <v>0</v>
      </c>
      <c r="G50" s="874"/>
      <c r="H50" s="2267"/>
      <c r="I50" s="282"/>
    </row>
    <row r="51" spans="1:9" ht="26.25" thickBot="1" x14ac:dyDescent="0.25">
      <c r="A51" s="1175" t="str">
        <f>F!A98</f>
        <v>F15</v>
      </c>
      <c r="B51" s="2508"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266" t="s">
        <v>2715</v>
      </c>
      <c r="I51" s="283" t="s">
        <v>2716</v>
      </c>
    </row>
    <row r="52" spans="1:9" x14ac:dyDescent="0.2">
      <c r="A52" s="1175"/>
      <c r="B52" s="2506"/>
      <c r="C52" s="150" t="str">
        <f>F!C99</f>
        <v>None, or fewer than 8/ hectare which exceed this diameter.</v>
      </c>
      <c r="D52" s="398">
        <f>F!D99</f>
        <v>0</v>
      </c>
      <c r="E52" s="94">
        <v>0</v>
      </c>
      <c r="F52" s="26">
        <f>D52*E52</f>
        <v>0</v>
      </c>
      <c r="G52" s="875"/>
      <c r="H52" s="2266"/>
      <c r="I52" s="64"/>
    </row>
    <row r="53" spans="1:9" ht="25.5" x14ac:dyDescent="0.2">
      <c r="A53" s="1175"/>
      <c r="B53" s="2506"/>
      <c r="C53" s="281" t="str">
        <f>F!C100</f>
        <v>Several ( &gt;8/hectare) and a pond, lake, or slow-flowing water wider than 10 m is within 1 km.</v>
      </c>
      <c r="D53" s="399">
        <f>F!D100</f>
        <v>0</v>
      </c>
      <c r="E53" s="94">
        <v>1</v>
      </c>
      <c r="F53" s="26">
        <f>D53*E53</f>
        <v>0</v>
      </c>
      <c r="G53" s="192"/>
      <c r="H53" s="2266"/>
      <c r="I53" s="64"/>
    </row>
    <row r="54" spans="1:9" ht="13.5" thickBot="1" x14ac:dyDescent="0.25">
      <c r="A54" s="1175"/>
      <c r="B54" s="2509"/>
      <c r="C54" s="151" t="str">
        <f>F!C101</f>
        <v>Several ( &gt;8/hectare) but above not true.</v>
      </c>
      <c r="D54" s="411">
        <f>F!D101</f>
        <v>0</v>
      </c>
      <c r="E54" s="96">
        <v>1</v>
      </c>
      <c r="F54" s="25">
        <f>D54*E54</f>
        <v>0</v>
      </c>
      <c r="G54" s="876"/>
      <c r="H54" s="2266"/>
      <c r="I54" s="282"/>
    </row>
    <row r="55" spans="1:9" ht="26.25" thickBot="1" x14ac:dyDescent="0.25">
      <c r="A55" s="1153" t="str">
        <f>F!A103</f>
        <v>F16</v>
      </c>
      <c r="B55" s="2505" t="str">
        <f>F!B103</f>
        <v>Downed Wood [AM, POL]</v>
      </c>
      <c r="C55" s="63" t="str">
        <f>F!C103</f>
        <v>The number of downed wood pieces longer than 2 m and with diameter &gt;10 cm, and not persistently submerged, is:</v>
      </c>
      <c r="D55" s="574"/>
      <c r="E55" s="81"/>
      <c r="F55" s="66"/>
      <c r="G55" s="165" t="str">
        <f>IF((MAX(F!D19:D22)&lt;2),"", MAX(F56:F57))</f>
        <v/>
      </c>
      <c r="H55" s="2271" t="s">
        <v>2717</v>
      </c>
      <c r="I55" s="283" t="s">
        <v>2718</v>
      </c>
    </row>
    <row r="56" spans="1:9" x14ac:dyDescent="0.2">
      <c r="A56" s="1173"/>
      <c r="B56" s="2506"/>
      <c r="C56" s="150" t="str">
        <f>F!C104</f>
        <v>Few or none that meet these criteria.</v>
      </c>
      <c r="D56" s="398">
        <f>F!D104</f>
        <v>0</v>
      </c>
      <c r="E56" s="94">
        <v>0</v>
      </c>
      <c r="F56" s="26">
        <f>D56*E56</f>
        <v>0</v>
      </c>
      <c r="G56" s="872"/>
      <c r="H56" s="2266"/>
      <c r="I56" s="64"/>
    </row>
    <row r="57" spans="1:9" ht="13.5" thickBot="1" x14ac:dyDescent="0.25">
      <c r="A57" s="1174"/>
      <c r="B57" s="2507"/>
      <c r="C57" s="249" t="str">
        <f>F!C105</f>
        <v>Several (&gt;5 if AA is &gt;5 hectares, less for smaller AAs) meet these criteria.</v>
      </c>
      <c r="D57" s="400">
        <f>F!D105</f>
        <v>0</v>
      </c>
      <c r="E57" s="98">
        <v>1</v>
      </c>
      <c r="F57" s="67">
        <f>D57*E57</f>
        <v>0</v>
      </c>
      <c r="G57" s="874"/>
      <c r="H57" s="2267"/>
      <c r="I57" s="282"/>
    </row>
    <row r="58" spans="1:9" ht="39" thickBot="1" x14ac:dyDescent="0.25">
      <c r="A58" s="2753" t="str">
        <f>F!A107</f>
        <v>F17</v>
      </c>
      <c r="B58" s="2508"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v>
      </c>
      <c r="H58" s="2266" t="s">
        <v>2719</v>
      </c>
      <c r="I58" s="283" t="s">
        <v>2720</v>
      </c>
    </row>
    <row r="59" spans="1:9" ht="38.25" x14ac:dyDescent="0.2">
      <c r="A59" s="2753"/>
      <c r="B59" s="250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266"/>
      <c r="I59" s="64"/>
    </row>
    <row r="60" spans="1:9" ht="25.5" x14ac:dyDescent="0.2">
      <c r="A60" s="2753"/>
      <c r="B60" s="2506"/>
      <c r="C60" s="281" t="str">
        <f>F!C109</f>
        <v>Slightly bare ground (5-20% bare between plants) is visible in places, and those areas comprise less than 5% of the unflooded parts of the AA.</v>
      </c>
      <c r="D60" s="399">
        <f>F!D109</f>
        <v>0</v>
      </c>
      <c r="E60" s="171">
        <v>2</v>
      </c>
      <c r="F60" s="26">
        <f>D60*E60</f>
        <v>0</v>
      </c>
      <c r="G60" s="873"/>
      <c r="H60" s="2266"/>
      <c r="I60" s="64"/>
    </row>
    <row r="61" spans="1:9" ht="25.5" x14ac:dyDescent="0.2">
      <c r="A61" s="2753"/>
      <c r="B61" s="2506"/>
      <c r="C61" s="281" t="str">
        <f>F!C110</f>
        <v xml:space="preserve">Slightly bare ground (5-20% bare between plants) comprises more than 5% of the unflooded parts of the AA, </v>
      </c>
      <c r="D61" s="399">
        <f>F!D110</f>
        <v>0</v>
      </c>
      <c r="E61" s="171">
        <v>3</v>
      </c>
      <c r="F61" s="26">
        <f>D61*E61</f>
        <v>0</v>
      </c>
      <c r="G61" s="873"/>
      <c r="H61" s="2266"/>
      <c r="I61" s="64"/>
    </row>
    <row r="62" spans="1:9" ht="25.5" x14ac:dyDescent="0.2">
      <c r="A62" s="2753"/>
      <c r="B62" s="2506"/>
      <c r="C62" s="281" t="str">
        <f>F!C111</f>
        <v>Very bare ground (20-50% bare between plants) comprises more than 5% of the unflooded parts of the AA. </v>
      </c>
      <c r="D62" s="399">
        <f>F!D111</f>
        <v>0</v>
      </c>
      <c r="E62" s="246">
        <v>4</v>
      </c>
      <c r="F62" s="25">
        <f>D62*E62</f>
        <v>0</v>
      </c>
      <c r="G62" s="876"/>
      <c r="H62" s="2266"/>
      <c r="I62" s="64"/>
    </row>
    <row r="63" spans="1:9" ht="26.25" thickBot="1" x14ac:dyDescent="0.25">
      <c r="A63" s="2753"/>
      <c r="B63" s="2509"/>
      <c r="C63" s="151" t="str">
        <f>F!C112</f>
        <v>Not applicable. Surface water (either open or obscured by emergent plants) covers all of the AA all the time.</v>
      </c>
      <c r="D63" s="411">
        <f>F!D112</f>
        <v>0</v>
      </c>
      <c r="E63" s="246"/>
      <c r="F63" s="25"/>
      <c r="G63" s="876"/>
      <c r="H63" s="2266"/>
      <c r="I63" s="282"/>
    </row>
    <row r="64" spans="1:9" ht="64.5" thickBot="1" x14ac:dyDescent="0.25">
      <c r="A64" s="2265" t="str">
        <f>F!A124</f>
        <v>F20</v>
      </c>
      <c r="B64" s="250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271" t="s">
        <v>2721</v>
      </c>
      <c r="I64" s="283" t="s">
        <v>2722</v>
      </c>
    </row>
    <row r="65" spans="1:9" ht="25.5" x14ac:dyDescent="0.2">
      <c r="A65" s="2262"/>
      <c r="B65" s="2506"/>
      <c r="C65" s="281" t="str">
        <f>F!C125</f>
        <v>Few or none (minimal microtopography; &lt;1% of the land has such features, or entire AA is always water-covered).</v>
      </c>
      <c r="D65" s="399">
        <f>F!D125</f>
        <v>0</v>
      </c>
      <c r="E65" s="171">
        <v>0</v>
      </c>
      <c r="F65" s="26">
        <f>D65*E65</f>
        <v>0</v>
      </c>
      <c r="G65" s="872"/>
      <c r="H65" s="2266"/>
      <c r="I65" s="64"/>
    </row>
    <row r="66" spans="1:9" x14ac:dyDescent="0.2">
      <c r="A66" s="2262"/>
      <c r="B66" s="2506"/>
      <c r="C66" s="281" t="str">
        <f>F!C126</f>
        <v>Intermediate.</v>
      </c>
      <c r="D66" s="399">
        <f>F!D126</f>
        <v>0</v>
      </c>
      <c r="E66" s="171">
        <v>1</v>
      </c>
      <c r="F66" s="26">
        <f>D66*E66</f>
        <v>0</v>
      </c>
      <c r="G66" s="873"/>
      <c r="H66" s="2266"/>
      <c r="I66" s="64"/>
    </row>
    <row r="67" spans="1:9" ht="13.5" thickBot="1" x14ac:dyDescent="0.25">
      <c r="A67" s="2263"/>
      <c r="B67" s="2507"/>
      <c r="C67" s="249" t="str">
        <f>F!C127</f>
        <v>Several (extensive micro-topography).</v>
      </c>
      <c r="D67" s="400">
        <f>F!D127</f>
        <v>0</v>
      </c>
      <c r="E67" s="355">
        <v>2</v>
      </c>
      <c r="F67" s="67">
        <f>D67*E67</f>
        <v>0</v>
      </c>
      <c r="G67" s="874"/>
      <c r="H67" s="2267"/>
      <c r="I67" s="282"/>
    </row>
    <row r="68" spans="1:9" ht="51.75" thickBot="1" x14ac:dyDescent="0.25">
      <c r="A68" s="2753" t="str">
        <f>F!A142</f>
        <v>F23</v>
      </c>
      <c r="B68" s="2508"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v>
      </c>
      <c r="H68" s="2266" t="s">
        <v>2723</v>
      </c>
      <c r="I68" s="283" t="s">
        <v>2724</v>
      </c>
    </row>
    <row r="69" spans="1:9" x14ac:dyDescent="0.2">
      <c r="A69" s="2753"/>
      <c r="B69" s="2506"/>
      <c r="C69" s="281" t="str">
        <f>F!C143</f>
        <v>None or trace.</v>
      </c>
      <c r="D69" s="399">
        <f>F!D143</f>
        <v>0</v>
      </c>
      <c r="E69" s="170">
        <v>5</v>
      </c>
      <c r="F69" s="26">
        <f t="shared" ref="F69:F85" si="3">D69*E69</f>
        <v>0</v>
      </c>
      <c r="G69" s="873"/>
      <c r="H69" s="2266"/>
      <c r="I69" s="64"/>
    </row>
    <row r="70" spans="1:9" x14ac:dyDescent="0.2">
      <c r="A70" s="2753"/>
      <c r="B70" s="2506"/>
      <c r="C70" s="281" t="str">
        <f>F!C144</f>
        <v>1-20% of the AA.</v>
      </c>
      <c r="D70" s="399">
        <f>F!D144</f>
        <v>0</v>
      </c>
      <c r="E70" s="171">
        <v>4</v>
      </c>
      <c r="F70" s="26">
        <f t="shared" si="3"/>
        <v>0</v>
      </c>
      <c r="G70" s="873"/>
      <c r="H70" s="2266"/>
      <c r="I70" s="64"/>
    </row>
    <row r="71" spans="1:9" x14ac:dyDescent="0.2">
      <c r="A71" s="2753"/>
      <c r="B71" s="2506"/>
      <c r="C71" s="281" t="str">
        <f>F!C145</f>
        <v>20-50% of the AA.</v>
      </c>
      <c r="D71" s="399">
        <f>F!D145</f>
        <v>0</v>
      </c>
      <c r="E71" s="171">
        <v>3</v>
      </c>
      <c r="F71" s="26">
        <f t="shared" si="3"/>
        <v>0</v>
      </c>
      <c r="G71" s="873"/>
      <c r="H71" s="2266"/>
      <c r="I71" s="64"/>
    </row>
    <row r="72" spans="1:9" x14ac:dyDescent="0.2">
      <c r="A72" s="2753"/>
      <c r="B72" s="2506"/>
      <c r="C72" s="281" t="str">
        <f>F!C146</f>
        <v>50-95% of the AA.</v>
      </c>
      <c r="D72" s="399">
        <f>F!D146</f>
        <v>0</v>
      </c>
      <c r="E72" s="171">
        <v>2</v>
      </c>
      <c r="F72" s="26">
        <f t="shared" si="3"/>
        <v>0</v>
      </c>
      <c r="G72" s="873"/>
      <c r="H72" s="2266"/>
      <c r="I72" s="64"/>
    </row>
    <row r="73" spans="1:9" ht="13.5" thickBot="1" x14ac:dyDescent="0.25">
      <c r="A73" s="2753"/>
      <c r="B73" s="2509"/>
      <c r="C73" s="151" t="str">
        <f>F!C147</f>
        <v>&gt;95% of the AA. True for many fringe wetlands.</v>
      </c>
      <c r="D73" s="411">
        <f>F!D147</f>
        <v>0</v>
      </c>
      <c r="E73" s="246">
        <v>1</v>
      </c>
      <c r="F73" s="25">
        <f t="shared" si="3"/>
        <v>0</v>
      </c>
      <c r="G73" s="876"/>
      <c r="H73" s="2266"/>
      <c r="I73" s="282"/>
    </row>
    <row r="74" spans="1:9" ht="39" thickBot="1" x14ac:dyDescent="0.25">
      <c r="A74" s="1150" t="str">
        <f>F!A266</f>
        <v>F50</v>
      </c>
      <c r="B74" s="250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271" t="s">
        <v>8964</v>
      </c>
      <c r="I74" s="283" t="s">
        <v>2725</v>
      </c>
    </row>
    <row r="75" spans="1:9" x14ac:dyDescent="0.2">
      <c r="A75" s="1151"/>
      <c r="B75" s="2506"/>
      <c r="C75" s="727" t="str">
        <f>F!C267</f>
        <v>&lt;5%.</v>
      </c>
      <c r="D75" s="398">
        <f>F!D267</f>
        <v>0</v>
      </c>
      <c r="E75" s="76">
        <v>0</v>
      </c>
      <c r="F75" s="26">
        <f t="shared" si="3"/>
        <v>0</v>
      </c>
      <c r="G75" s="192"/>
      <c r="H75" s="2266"/>
      <c r="I75" s="64"/>
    </row>
    <row r="76" spans="1:9" x14ac:dyDescent="0.2">
      <c r="A76" s="1151"/>
      <c r="B76" s="2506"/>
      <c r="C76" s="766" t="str">
        <f>F!C268</f>
        <v>5 to &lt;30%.</v>
      </c>
      <c r="D76" s="399">
        <f>F!D268</f>
        <v>0</v>
      </c>
      <c r="E76" s="76">
        <v>2</v>
      </c>
      <c r="F76" s="26">
        <f t="shared" si="3"/>
        <v>0</v>
      </c>
      <c r="G76" s="192"/>
      <c r="H76" s="2266"/>
      <c r="I76" s="64"/>
    </row>
    <row r="77" spans="1:9" x14ac:dyDescent="0.2">
      <c r="A77" s="1151"/>
      <c r="B77" s="2506"/>
      <c r="C77" s="766" t="str">
        <f>F!C269</f>
        <v>30 to &lt;60%.</v>
      </c>
      <c r="D77" s="399">
        <f>F!D269</f>
        <v>0</v>
      </c>
      <c r="E77" s="76">
        <v>3</v>
      </c>
      <c r="F77" s="26">
        <f t="shared" si="3"/>
        <v>0</v>
      </c>
      <c r="G77" s="192"/>
      <c r="H77" s="2266"/>
      <c r="I77" s="64"/>
    </row>
    <row r="78" spans="1:9" x14ac:dyDescent="0.2">
      <c r="A78" s="1151"/>
      <c r="B78" s="2506"/>
      <c r="C78" s="766" t="str">
        <f>F!C270</f>
        <v>60 to 90%.</v>
      </c>
      <c r="D78" s="399">
        <f>F!D270</f>
        <v>0</v>
      </c>
      <c r="E78" s="76">
        <v>3</v>
      </c>
      <c r="F78" s="26">
        <f t="shared" si="3"/>
        <v>0</v>
      </c>
      <c r="G78" s="192"/>
      <c r="H78" s="2266"/>
      <c r="I78" s="64"/>
    </row>
    <row r="79" spans="1:9" ht="13.5" thickBot="1" x14ac:dyDescent="0.25">
      <c r="A79" s="1152"/>
      <c r="B79" s="2507"/>
      <c r="C79" s="767" t="str">
        <f>F!C271</f>
        <v>&gt;90%, or all the area within 30 m of the AA edge is other wetlands. SKIP to F53.</v>
      </c>
      <c r="D79" s="400">
        <f>F!D271</f>
        <v>0</v>
      </c>
      <c r="E79" s="77">
        <v>3</v>
      </c>
      <c r="F79" s="67">
        <f t="shared" si="3"/>
        <v>0</v>
      </c>
      <c r="G79" s="193"/>
      <c r="H79" s="2267"/>
      <c r="I79" s="282"/>
    </row>
    <row r="80" spans="1:9" ht="39" thickBot="1" x14ac:dyDescent="0.25">
      <c r="A80" s="2262" t="str">
        <f>F!A280</f>
        <v>F53</v>
      </c>
      <c r="B80" s="2508"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266" t="s">
        <v>2726</v>
      </c>
      <c r="I80" s="2252" t="s">
        <v>2727</v>
      </c>
    </row>
    <row r="81" spans="1:9" x14ac:dyDescent="0.2">
      <c r="A81" s="2262"/>
      <c r="B81" s="2506"/>
      <c r="C81" s="281" t="str">
        <f>F!C281</f>
        <v>&lt;3 m or within the AA</v>
      </c>
      <c r="D81" s="399">
        <f>F!D281</f>
        <v>0</v>
      </c>
      <c r="E81" s="76">
        <v>6</v>
      </c>
      <c r="F81" s="26">
        <f t="shared" si="3"/>
        <v>0</v>
      </c>
      <c r="G81" s="212"/>
      <c r="H81" s="2266"/>
      <c r="I81" s="2253"/>
    </row>
    <row r="82" spans="1:9" x14ac:dyDescent="0.2">
      <c r="A82" s="2262"/>
      <c r="B82" s="2506"/>
      <c r="C82" s="281" t="str">
        <f>F!C282</f>
        <v>3 to &lt;10 m</v>
      </c>
      <c r="D82" s="399">
        <f>F!D282</f>
        <v>0</v>
      </c>
      <c r="E82" s="76">
        <v>4</v>
      </c>
      <c r="F82" s="26">
        <f t="shared" si="3"/>
        <v>0</v>
      </c>
      <c r="G82" s="213"/>
      <c r="H82" s="2266"/>
      <c r="I82" s="2253"/>
    </row>
    <row r="83" spans="1:9" x14ac:dyDescent="0.2">
      <c r="A83" s="2262"/>
      <c r="B83" s="2506"/>
      <c r="C83" s="281" t="str">
        <f>F!C283</f>
        <v>10 to &lt;30 m</v>
      </c>
      <c r="D83" s="399">
        <f>F!D283</f>
        <v>0</v>
      </c>
      <c r="E83" s="76">
        <v>3</v>
      </c>
      <c r="F83" s="26">
        <f t="shared" si="3"/>
        <v>0</v>
      </c>
      <c r="G83" s="213"/>
      <c r="H83" s="2266"/>
      <c r="I83" s="2253"/>
    </row>
    <row r="84" spans="1:9" x14ac:dyDescent="0.2">
      <c r="A84" s="2262"/>
      <c r="B84" s="2506"/>
      <c r="C84" s="281" t="str">
        <f>F!C284</f>
        <v>30 to 100 m</v>
      </c>
      <c r="D84" s="399">
        <f>F!D284</f>
        <v>0</v>
      </c>
      <c r="E84" s="76">
        <v>2</v>
      </c>
      <c r="F84" s="26">
        <f t="shared" si="3"/>
        <v>0</v>
      </c>
      <c r="G84" s="213"/>
      <c r="H84" s="2266"/>
      <c r="I84" s="2253"/>
    </row>
    <row r="85" spans="1:9" ht="13.5" thickBot="1" x14ac:dyDescent="0.25">
      <c r="A85" s="2262"/>
      <c r="B85" s="2509"/>
      <c r="C85" s="151" t="str">
        <f>F!C285</f>
        <v>&gt; 100 m</v>
      </c>
      <c r="D85" s="411">
        <f>F!D285</f>
        <v>0</v>
      </c>
      <c r="E85" s="79">
        <v>0</v>
      </c>
      <c r="F85" s="25">
        <f t="shared" si="3"/>
        <v>0</v>
      </c>
      <c r="G85" s="215"/>
      <c r="H85" s="2266"/>
      <c r="I85" s="2254"/>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2735</v>
      </c>
      <c r="I90" s="283" t="s">
        <v>2736</v>
      </c>
    </row>
    <row r="91" spans="1:9" ht="60.75" customHeight="1" thickBot="1" x14ac:dyDescent="0.25">
      <c r="A91" s="1168" t="str">
        <f>OF!A46</f>
        <v>OF8</v>
      </c>
      <c r="B91" s="2508"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v>
      </c>
      <c r="H91" s="2266" t="s">
        <v>1148</v>
      </c>
      <c r="I91" s="2252" t="s">
        <v>2737</v>
      </c>
    </row>
    <row r="92" spans="1:9" x14ac:dyDescent="0.2">
      <c r="A92" s="1168"/>
      <c r="B92" s="2506"/>
      <c r="C92" s="281" t="str">
        <f>OF!C47</f>
        <v xml:space="preserve">&lt;5% of the land. </v>
      </c>
      <c r="D92" s="399">
        <f>OF!D47</f>
        <v>0</v>
      </c>
      <c r="E92" s="76">
        <v>6</v>
      </c>
      <c r="F92" s="26">
        <f>D92*E92</f>
        <v>0</v>
      </c>
      <c r="G92" s="212"/>
      <c r="H92" s="2266"/>
      <c r="I92" s="2253"/>
    </row>
    <row r="93" spans="1:9" x14ac:dyDescent="0.2">
      <c r="A93" s="1168"/>
      <c r="B93" s="2506"/>
      <c r="C93" s="281" t="str">
        <f>OF!C48</f>
        <v>5 to 20% of the land.</v>
      </c>
      <c r="D93" s="399">
        <f>OF!D48</f>
        <v>0</v>
      </c>
      <c r="E93" s="76">
        <v>5</v>
      </c>
      <c r="F93" s="26">
        <f>D93*E93</f>
        <v>0</v>
      </c>
      <c r="G93" s="213"/>
      <c r="H93" s="2266"/>
      <c r="I93" s="2253"/>
    </row>
    <row r="94" spans="1:9" x14ac:dyDescent="0.2">
      <c r="A94" s="1168"/>
      <c r="B94" s="2506"/>
      <c r="C94" s="281" t="str">
        <f>OF!C49</f>
        <v>20 to 60% of the land.</v>
      </c>
      <c r="D94" s="399">
        <f>OF!D49</f>
        <v>0</v>
      </c>
      <c r="E94" s="76">
        <v>4</v>
      </c>
      <c r="F94" s="26">
        <f>D94*E94</f>
        <v>0</v>
      </c>
      <c r="G94" s="213"/>
      <c r="H94" s="2266"/>
      <c r="I94" s="2253"/>
    </row>
    <row r="95" spans="1:9" x14ac:dyDescent="0.2">
      <c r="A95" s="1168"/>
      <c r="B95" s="2506"/>
      <c r="C95" s="281" t="str">
        <f>OF!C50</f>
        <v>60 to 90% of the land.</v>
      </c>
      <c r="D95" s="399">
        <f>OF!D50</f>
        <v>0</v>
      </c>
      <c r="E95" s="76">
        <v>2</v>
      </c>
      <c r="F95" s="26">
        <f>D95*E95</f>
        <v>0</v>
      </c>
      <c r="G95" s="213"/>
      <c r="H95" s="2266"/>
      <c r="I95" s="2253"/>
    </row>
    <row r="96" spans="1:9" ht="13.5" thickBot="1" x14ac:dyDescent="0.25">
      <c r="A96" s="1168"/>
      <c r="B96" s="2509"/>
      <c r="C96" s="151" t="str">
        <f>OF!C51</f>
        <v xml:space="preserve">&gt;90% of the land. </v>
      </c>
      <c r="D96" s="411">
        <f>OF!D51</f>
        <v>0</v>
      </c>
      <c r="E96" s="79">
        <v>0</v>
      </c>
      <c r="F96" s="25">
        <f>D96*E96</f>
        <v>0</v>
      </c>
      <c r="G96" s="215"/>
      <c r="H96" s="2266"/>
      <c r="I96" s="2254"/>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98" t="s">
        <v>1053</v>
      </c>
      <c r="D99" s="2515" t="s">
        <v>2740</v>
      </c>
      <c r="E99" s="2516"/>
      <c r="F99" s="2517"/>
      <c r="G99" s="655" t="e">
        <f>MAX(Phabscore, ForbCov0,herbdiv0,herbsens0,WoodyHtForm0)</f>
        <v>#VALUE!</v>
      </c>
      <c r="H99" s="656" t="s">
        <v>2741</v>
      </c>
      <c r="I99" s="322" t="s">
        <v>2742</v>
      </c>
      <c r="J99" s="889" t="s">
        <v>2743</v>
      </c>
    </row>
    <row r="100" spans="1:10" ht="38.25" customHeight="1" x14ac:dyDescent="0.2">
      <c r="A100" s="285"/>
      <c r="B100" s="285"/>
      <c r="C100" s="2399"/>
      <c r="D100" s="2584" t="s">
        <v>2744</v>
      </c>
      <c r="E100" s="2585"/>
      <c r="F100" s="2586"/>
      <c r="G100" s="657">
        <f>AVERAGE(persist0,AVERAGE(woodydbh0, Sngs0, downwood0, girreg0, cliff0,gcover0, ShrubDiv0))</f>
        <v>0</v>
      </c>
      <c r="H100" s="658" t="s">
        <v>2745</v>
      </c>
      <c r="I100" s="323" t="s">
        <v>2744</v>
      </c>
      <c r="J100" s="1517" t="s">
        <v>2746</v>
      </c>
    </row>
    <row r="101" spans="1:10" ht="47.25" customHeight="1" thickBot="1" x14ac:dyDescent="0.25">
      <c r="A101" s="285"/>
      <c r="B101" s="285"/>
      <c r="C101" s="2400"/>
      <c r="D101" s="2518" t="s">
        <v>2031</v>
      </c>
      <c r="E101" s="2519"/>
      <c r="F101" s="2520"/>
      <c r="G101" s="659">
        <f>AVERAGE(Toxic0,CovPctScape0, BuffPerim0,DistNat0)</f>
        <v>0.33333333333333331</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0</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58:H63"/>
    <mergeCell ref="H55:H57"/>
    <mergeCell ref="H64:H67"/>
    <mergeCell ref="A80:A85"/>
    <mergeCell ref="H80:H85"/>
    <mergeCell ref="B68:B73"/>
    <mergeCell ref="H68:H73"/>
    <mergeCell ref="B74:B79"/>
    <mergeCell ref="H74:H79"/>
    <mergeCell ref="B64:B67"/>
    <mergeCell ref="A64:A67"/>
    <mergeCell ref="A68:A73"/>
    <mergeCell ref="I80:I85"/>
    <mergeCell ref="B91:B96"/>
    <mergeCell ref="H91:H96"/>
    <mergeCell ref="B80:B85"/>
    <mergeCell ref="I91:I96"/>
    <mergeCell ref="D99:F99"/>
    <mergeCell ref="C99:C101"/>
    <mergeCell ref="D101:F101"/>
    <mergeCell ref="D100:F100"/>
    <mergeCell ref="A1:B1"/>
    <mergeCell ref="B3:B10"/>
    <mergeCell ref="B28:B36"/>
    <mergeCell ref="A24:A27"/>
    <mergeCell ref="B43:B45"/>
    <mergeCell ref="B46:B50"/>
    <mergeCell ref="B55:B57"/>
    <mergeCell ref="B58:B63"/>
    <mergeCell ref="A58:A63"/>
    <mergeCell ref="H3:H10"/>
    <mergeCell ref="B11:B16"/>
    <mergeCell ref="H11:H16"/>
    <mergeCell ref="B17:B23"/>
    <mergeCell ref="H17:H23"/>
    <mergeCell ref="H28:H36"/>
    <mergeCell ref="B51:B54"/>
    <mergeCell ref="H51:H54"/>
    <mergeCell ref="B24:B27"/>
    <mergeCell ref="H24:H27"/>
    <mergeCell ref="H37:H42"/>
    <mergeCell ref="B37:B42"/>
    <mergeCell ref="H46:H50"/>
    <mergeCell ref="H43:H45"/>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16" t="s">
        <v>8371</v>
      </c>
      <c r="B1" s="2417"/>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58" t="str">
        <f>OF!A53</f>
        <v>OF9</v>
      </c>
      <c r="B3" s="2246"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v>
      </c>
      <c r="H3" s="2271" t="s">
        <v>2798</v>
      </c>
      <c r="I3" s="283" t="s">
        <v>2799</v>
      </c>
    </row>
    <row r="4" spans="1:9" x14ac:dyDescent="0.2">
      <c r="A4" s="2259"/>
      <c r="B4" s="2247"/>
      <c r="C4" s="695" t="str">
        <f>OF!C54</f>
        <v>&lt;100 m.</v>
      </c>
      <c r="D4" s="398">
        <f>OF!D54</f>
        <v>0</v>
      </c>
      <c r="E4" s="26">
        <v>5</v>
      </c>
      <c r="F4" s="26">
        <f t="shared" ref="F4:F28" si="0">D4*E4</f>
        <v>0</v>
      </c>
      <c r="G4" s="238"/>
      <c r="H4" s="2266"/>
      <c r="I4" s="64"/>
    </row>
    <row r="5" spans="1:9" x14ac:dyDescent="0.2">
      <c r="A5" s="2259"/>
      <c r="B5" s="2247"/>
      <c r="C5" s="700" t="str">
        <f>OF!C55</f>
        <v>100 - 500 m.</v>
      </c>
      <c r="D5" s="399">
        <f>OF!D55</f>
        <v>0</v>
      </c>
      <c r="E5" s="26">
        <v>3</v>
      </c>
      <c r="F5" s="26">
        <f t="shared" si="0"/>
        <v>0</v>
      </c>
      <c r="G5" s="211"/>
      <c r="H5" s="2266"/>
      <c r="I5" s="64"/>
    </row>
    <row r="6" spans="1:9" x14ac:dyDescent="0.2">
      <c r="A6" s="2259"/>
      <c r="B6" s="2247"/>
      <c r="C6" s="700" t="str">
        <f>OF!C56</f>
        <v>0.5- 1 km.</v>
      </c>
      <c r="D6" s="399">
        <f>OF!D56</f>
        <v>0</v>
      </c>
      <c r="E6" s="26">
        <v>2</v>
      </c>
      <c r="F6" s="26">
        <f t="shared" si="0"/>
        <v>0</v>
      </c>
      <c r="G6" s="211"/>
      <c r="H6" s="2266"/>
      <c r="I6" s="64"/>
    </row>
    <row r="7" spans="1:9" x14ac:dyDescent="0.2">
      <c r="A7" s="2259"/>
      <c r="B7" s="2247"/>
      <c r="C7" s="700" t="str">
        <f>OF!C57</f>
        <v>1 - 5 km.</v>
      </c>
      <c r="D7" s="399">
        <f>OF!D57</f>
        <v>0</v>
      </c>
      <c r="E7" s="26">
        <v>1</v>
      </c>
      <c r="F7" s="26">
        <f t="shared" si="0"/>
        <v>0</v>
      </c>
      <c r="G7" s="211"/>
      <c r="H7" s="2266"/>
      <c r="I7" s="64"/>
    </row>
    <row r="8" spans="1:9" ht="13.5" thickBot="1" x14ac:dyDescent="0.25">
      <c r="A8" s="2260"/>
      <c r="B8" s="2248"/>
      <c r="C8" s="696" t="str">
        <f>OF!C58</f>
        <v>&gt;5 km.</v>
      </c>
      <c r="D8" s="400">
        <f>OF!D58</f>
        <v>0</v>
      </c>
      <c r="E8" s="67">
        <v>0</v>
      </c>
      <c r="F8" s="67">
        <f t="shared" si="0"/>
        <v>0</v>
      </c>
      <c r="G8" s="193"/>
      <c r="H8" s="2266"/>
      <c r="I8" s="282"/>
    </row>
    <row r="9" spans="1:9" ht="21.75" customHeight="1" thickBot="1" x14ac:dyDescent="0.25">
      <c r="A9" s="2259" t="str">
        <f>OF!A60</f>
        <v>OF10</v>
      </c>
      <c r="B9" s="2247" t="str">
        <f>OF!B60</f>
        <v>Distance to Domestic Wells [NRb, CRI]</v>
      </c>
      <c r="C9" s="302" t="str">
        <f>OF!C60</f>
        <v>The closest wells or water bodies that currently provide drinking water are:</v>
      </c>
      <c r="D9" s="785"/>
      <c r="E9" s="28"/>
      <c r="F9" s="28"/>
      <c r="G9" s="183">
        <f>MAX(F10:F12)/MAX(E10:E12)</f>
        <v>0</v>
      </c>
      <c r="H9" s="2271" t="s">
        <v>2800</v>
      </c>
      <c r="I9" s="64" t="s">
        <v>2801</v>
      </c>
    </row>
    <row r="10" spans="1:9" ht="16.5" customHeight="1" x14ac:dyDescent="0.2">
      <c r="A10" s="2259"/>
      <c r="B10" s="2247"/>
      <c r="C10" s="303" t="str">
        <f>OF!C61</f>
        <v>Within 0-100 m. of the AA.</v>
      </c>
      <c r="D10" s="399">
        <f>OF!D61</f>
        <v>0</v>
      </c>
      <c r="E10" s="26">
        <v>3</v>
      </c>
      <c r="F10" s="25">
        <f t="shared" si="0"/>
        <v>0</v>
      </c>
      <c r="G10" s="192"/>
      <c r="H10" s="2266"/>
      <c r="I10" s="64"/>
    </row>
    <row r="11" spans="1:9" ht="17.25" customHeight="1" x14ac:dyDescent="0.2">
      <c r="A11" s="2259"/>
      <c r="B11" s="2247"/>
      <c r="C11" s="303" t="str">
        <f>OF!C62</f>
        <v>100-500 m. away.</v>
      </c>
      <c r="D11" s="399">
        <f>OF!D62</f>
        <v>0</v>
      </c>
      <c r="E11" s="26">
        <v>2</v>
      </c>
      <c r="F11" s="25">
        <f t="shared" si="0"/>
        <v>0</v>
      </c>
      <c r="G11" s="192"/>
      <c r="H11" s="2266"/>
      <c r="I11" s="64"/>
    </row>
    <row r="12" spans="1:9" ht="13.5" thickBot="1" x14ac:dyDescent="0.25">
      <c r="A12" s="2259"/>
      <c r="B12" s="2247"/>
      <c r="C12" s="743" t="str">
        <f>OF!C63</f>
        <v>&gt;500 m. away</v>
      </c>
      <c r="D12" s="411">
        <f>OF!D63</f>
        <v>0</v>
      </c>
      <c r="E12" s="25">
        <v>0</v>
      </c>
      <c r="F12" s="25">
        <f t="shared" si="0"/>
        <v>0</v>
      </c>
      <c r="G12" s="211"/>
      <c r="H12" s="2267"/>
      <c r="I12" s="64"/>
    </row>
    <row r="13" spans="1:9" ht="26.25" thickBot="1" x14ac:dyDescent="0.25">
      <c r="A13" s="2258" t="str">
        <f>OF!A65</f>
        <v>OF11</v>
      </c>
      <c r="B13" s="2246"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v>
      </c>
      <c r="H13" s="2266" t="s">
        <v>2802</v>
      </c>
      <c r="I13" s="283" t="s">
        <v>2803</v>
      </c>
    </row>
    <row r="14" spans="1:9" x14ac:dyDescent="0.2">
      <c r="A14" s="2259"/>
      <c r="B14" s="2247"/>
      <c r="C14" s="302" t="str">
        <f>OF!C66</f>
        <v>&lt;10 m.</v>
      </c>
      <c r="D14" s="398">
        <f>OF!D66</f>
        <v>0</v>
      </c>
      <c r="E14" s="26">
        <v>8</v>
      </c>
      <c r="F14" s="25">
        <f t="shared" si="0"/>
        <v>0</v>
      </c>
      <c r="G14" s="192"/>
      <c r="H14" s="2266"/>
      <c r="I14" s="64"/>
    </row>
    <row r="15" spans="1:9" x14ac:dyDescent="0.2">
      <c r="A15" s="2259"/>
      <c r="B15" s="2247"/>
      <c r="C15" s="303" t="str">
        <f>OF!C67</f>
        <v>10 - 25 m.</v>
      </c>
      <c r="D15" s="399">
        <f>OF!D67</f>
        <v>0</v>
      </c>
      <c r="E15" s="26">
        <v>5</v>
      </c>
      <c r="F15" s="25">
        <f t="shared" si="0"/>
        <v>0</v>
      </c>
      <c r="G15" s="192"/>
      <c r="H15" s="2266"/>
      <c r="I15" s="64"/>
    </row>
    <row r="16" spans="1:9" x14ac:dyDescent="0.2">
      <c r="A16" s="2259"/>
      <c r="B16" s="2247"/>
      <c r="C16" s="303" t="str">
        <f>OF!C68</f>
        <v>25 - 50 m.</v>
      </c>
      <c r="D16" s="399">
        <f>OF!D68</f>
        <v>0</v>
      </c>
      <c r="E16" s="26">
        <v>4</v>
      </c>
      <c r="F16" s="25">
        <f t="shared" si="0"/>
        <v>0</v>
      </c>
      <c r="G16" s="192"/>
      <c r="H16" s="2266"/>
      <c r="I16" s="64"/>
    </row>
    <row r="17" spans="1:9" x14ac:dyDescent="0.2">
      <c r="A17" s="2259"/>
      <c r="B17" s="2247"/>
      <c r="C17" s="303" t="str">
        <f>OF!C69</f>
        <v>50 - 100 m.</v>
      </c>
      <c r="D17" s="399">
        <f>OF!D69</f>
        <v>0</v>
      </c>
      <c r="E17" s="26">
        <v>3</v>
      </c>
      <c r="F17" s="25">
        <f t="shared" si="0"/>
        <v>0</v>
      </c>
      <c r="G17" s="192"/>
      <c r="H17" s="2266"/>
      <c r="I17" s="64"/>
    </row>
    <row r="18" spans="1:9" x14ac:dyDescent="0.2">
      <c r="A18" s="2259"/>
      <c r="B18" s="2247"/>
      <c r="C18" s="303" t="str">
        <f>OF!C70</f>
        <v>100 - 500 m.</v>
      </c>
      <c r="D18" s="399">
        <f>OF!D70</f>
        <v>0</v>
      </c>
      <c r="E18" s="26">
        <v>2</v>
      </c>
      <c r="F18" s="25">
        <f t="shared" si="0"/>
        <v>0</v>
      </c>
      <c r="G18" s="192"/>
      <c r="H18" s="2266"/>
      <c r="I18" s="64"/>
    </row>
    <row r="19" spans="1:9" ht="13.5" thickBot="1" x14ac:dyDescent="0.25">
      <c r="A19" s="2260"/>
      <c r="B19" s="2248"/>
      <c r="C19" s="649" t="str">
        <f>OF!C71</f>
        <v>&gt;500 m.</v>
      </c>
      <c r="D19" s="403">
        <f>OF!D71</f>
        <v>0</v>
      </c>
      <c r="E19" s="67">
        <v>1</v>
      </c>
      <c r="F19" s="67">
        <f t="shared" si="0"/>
        <v>0</v>
      </c>
      <c r="G19" s="193"/>
      <c r="H19" s="2267"/>
      <c r="I19" s="282"/>
    </row>
    <row r="20" spans="1:9" ht="17.25" thickBot="1" x14ac:dyDescent="0.25">
      <c r="A20" s="2258" t="str">
        <f>OF!A89</f>
        <v>OF15</v>
      </c>
      <c r="B20" s="2246" t="str">
        <f>OF!B89</f>
        <v>Tidal Proximity [APP, FA, WBF, CRI]</v>
      </c>
      <c r="C20" s="357" t="str">
        <f>OF!C89</f>
        <v>The distance from the AA edge to the closest tidal water body (regardless of its salinity) is:</v>
      </c>
      <c r="D20" s="784"/>
      <c r="E20" s="65"/>
      <c r="F20" s="68"/>
      <c r="G20" s="184">
        <f>MAX(F21:F25)/MAX(E21:E25)</f>
        <v>0</v>
      </c>
      <c r="H20" s="2271" t="s">
        <v>2804</v>
      </c>
      <c r="I20" s="283" t="s">
        <v>2805</v>
      </c>
    </row>
    <row r="21" spans="1:9" x14ac:dyDescent="0.2">
      <c r="A21" s="2259"/>
      <c r="B21" s="2247"/>
      <c r="C21" s="695" t="str">
        <f>OF!C90</f>
        <v>&lt;100 m.</v>
      </c>
      <c r="D21" s="398">
        <f>OF!D90</f>
        <v>0</v>
      </c>
      <c r="E21" s="26">
        <v>6</v>
      </c>
      <c r="F21" s="26">
        <f t="shared" si="0"/>
        <v>0</v>
      </c>
      <c r="G21" s="191"/>
      <c r="H21" s="2266"/>
      <c r="I21" s="64"/>
    </row>
    <row r="22" spans="1:9" x14ac:dyDescent="0.2">
      <c r="A22" s="2259"/>
      <c r="B22" s="2247"/>
      <c r="C22" s="700" t="str">
        <f>OF!C91</f>
        <v>100 m - 1 km.</v>
      </c>
      <c r="D22" s="399">
        <f>OF!D91</f>
        <v>0</v>
      </c>
      <c r="E22" s="26">
        <v>4</v>
      </c>
      <c r="F22" s="26">
        <f t="shared" si="0"/>
        <v>0</v>
      </c>
      <c r="G22" s="192"/>
      <c r="H22" s="2266"/>
      <c r="I22" s="64"/>
    </row>
    <row r="23" spans="1:9" x14ac:dyDescent="0.2">
      <c r="A23" s="2259"/>
      <c r="B23" s="2247"/>
      <c r="C23" s="700" t="str">
        <f>OF!C92</f>
        <v>1 - 5 km.</v>
      </c>
      <c r="D23" s="399">
        <f>OF!D92</f>
        <v>0</v>
      </c>
      <c r="E23" s="26">
        <v>3</v>
      </c>
      <c r="F23" s="26">
        <f t="shared" si="0"/>
        <v>0</v>
      </c>
      <c r="G23" s="192"/>
      <c r="H23" s="2266"/>
      <c r="I23" s="64"/>
    </row>
    <row r="24" spans="1:9" x14ac:dyDescent="0.2">
      <c r="A24" s="2259"/>
      <c r="B24" s="2247"/>
      <c r="C24" s="700" t="str">
        <f>OF!C94</f>
        <v>10-40 km.</v>
      </c>
      <c r="D24" s="399">
        <f>OF!D94</f>
        <v>0</v>
      </c>
      <c r="E24" s="26">
        <v>2</v>
      </c>
      <c r="F24" s="26">
        <f t="shared" si="0"/>
        <v>0</v>
      </c>
      <c r="G24" s="192"/>
      <c r="H24" s="2266"/>
      <c r="I24" s="64"/>
    </row>
    <row r="25" spans="1:9" ht="13.5" thickBot="1" x14ac:dyDescent="0.25">
      <c r="A25" s="2259"/>
      <c r="B25" s="2247"/>
      <c r="C25" s="698" t="str">
        <f>OF!C95</f>
        <v>&gt;40 km.</v>
      </c>
      <c r="D25" s="411">
        <f>OF!D95</f>
        <v>0</v>
      </c>
      <c r="E25" s="25">
        <v>0</v>
      </c>
      <c r="F25" s="25">
        <f t="shared" si="0"/>
        <v>0</v>
      </c>
      <c r="G25" s="211"/>
      <c r="H25" s="2266"/>
      <c r="I25" s="282"/>
    </row>
    <row r="26" spans="1:9" ht="26.25" thickBot="1" x14ac:dyDescent="0.25">
      <c r="A26" s="2258" t="str">
        <f>OF!A148</f>
        <v>OF28</v>
      </c>
      <c r="B26" s="2246" t="str">
        <f>OF!B148</f>
        <v>Anadromous Species Access or Use [SFTSb, FA]</v>
      </c>
      <c r="C26" s="894" t="str">
        <f>OF!C148</f>
        <v>According to agency biologists and/or your own observations, the AA. [Mark just the first choice that is true.]:</v>
      </c>
      <c r="D26" s="784"/>
      <c r="E26" s="65"/>
      <c r="F26" s="65"/>
      <c r="G26" s="184">
        <f>MAX(F27:F28)/MAX(E27:E28)</f>
        <v>0</v>
      </c>
      <c r="H26" s="2271" t="s">
        <v>2806</v>
      </c>
      <c r="I26" s="2252" t="s">
        <v>2807</v>
      </c>
    </row>
    <row r="27" spans="1:9" ht="114.75" x14ac:dyDescent="0.2">
      <c r="A27" s="2259"/>
      <c r="B27" s="2247"/>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266"/>
      <c r="I27" s="2253"/>
    </row>
    <row r="28" spans="1:9" ht="39" thickBot="1" x14ac:dyDescent="0.25">
      <c r="A28" s="2260"/>
      <c r="B28" s="2248"/>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267"/>
      <c r="I28" s="2254"/>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2814</v>
      </c>
      <c r="I32" s="4" t="s">
        <v>2815</v>
      </c>
    </row>
    <row r="33" spans="1:9" ht="26.25" thickBot="1" x14ac:dyDescent="0.25">
      <c r="A33" s="1154" t="str">
        <f>OF!A170</f>
        <v>OF38</v>
      </c>
      <c r="B33" s="2246"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0.5</v>
      </c>
      <c r="H33" s="2271" t="s">
        <v>2816</v>
      </c>
      <c r="I33" s="283" t="s">
        <v>2817</v>
      </c>
    </row>
    <row r="34" spans="1:9" ht="51" x14ac:dyDescent="0.2">
      <c r="A34" s="1155"/>
      <c r="B34" s="2247"/>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266"/>
      <c r="I34" s="64"/>
    </row>
    <row r="35" spans="1:9" ht="25.5" x14ac:dyDescent="0.2">
      <c r="A35" s="1155"/>
      <c r="B35" s="2247"/>
      <c r="C35" s="700" t="str">
        <f>OF!C172</f>
        <v>Ownership is public (e.g., municipal, Crown Reservations/Notations) but some or all of the above activities are allowed.</v>
      </c>
      <c r="D35" s="399">
        <f>OF!D172</f>
        <v>0</v>
      </c>
      <c r="E35" s="26">
        <v>3</v>
      </c>
      <c r="F35" s="26">
        <f>D35*E35</f>
        <v>0</v>
      </c>
      <c r="G35" s="192"/>
      <c r="H35" s="2266"/>
      <c r="I35" s="64"/>
    </row>
    <row r="36" spans="1:9" ht="25.5" x14ac:dyDescent="0.2">
      <c r="A36" s="1155"/>
      <c r="B36" s="2247"/>
      <c r="C36" s="700" t="str">
        <f>OF!C173</f>
        <v>Ownership is private but public access is allowed, and/or a shorter-term conservation easement (whether renewable or not) is in place.</v>
      </c>
      <c r="D36" s="399">
        <f>OF!D173</f>
        <v>1</v>
      </c>
      <c r="E36" s="26">
        <v>2</v>
      </c>
      <c r="F36" s="26">
        <f>D36*E36</f>
        <v>2</v>
      </c>
      <c r="G36" s="238"/>
      <c r="H36" s="2266"/>
      <c r="I36" s="64"/>
    </row>
    <row r="37" spans="1:9" ht="26.25" thickBot="1" x14ac:dyDescent="0.25">
      <c r="A37" s="1155"/>
      <c r="B37" s="2247"/>
      <c r="C37" s="698" t="str">
        <f>OF!C174</f>
        <v>Ownership is private and owner does not allow access, or access permission unknown, and not a conservation easement.</v>
      </c>
      <c r="D37" s="411">
        <f>OF!D174</f>
        <v>0</v>
      </c>
      <c r="E37" s="25">
        <v>0</v>
      </c>
      <c r="F37" s="25">
        <f>D37*E37</f>
        <v>0</v>
      </c>
      <c r="G37" s="211"/>
      <c r="H37" s="2266"/>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246" t="str">
        <f>F!B300</f>
        <v>Visibility [WBFb, CRI, STR]</v>
      </c>
      <c r="C40" s="777" t="str">
        <f>F!C150</f>
        <v xml:space="preserve">&lt;1% . In other words, all or nearly all of the AA is covered by water permanently or at least seasonally.  </v>
      </c>
      <c r="D40" s="784"/>
      <c r="E40" s="337"/>
      <c r="F40" s="66"/>
      <c r="G40" s="184">
        <f>MAX(F41:F43)/MAX(E41:E43)</f>
        <v>0</v>
      </c>
      <c r="H40" s="2271" t="s">
        <v>2822</v>
      </c>
      <c r="I40" s="283" t="s">
        <v>2823</v>
      </c>
    </row>
    <row r="41" spans="1:9" x14ac:dyDescent="0.2">
      <c r="A41" s="1183"/>
      <c r="B41" s="2247"/>
      <c r="C41" s="701" t="str">
        <f>F!C301</f>
        <v>&lt;25%.</v>
      </c>
      <c r="D41" s="684">
        <f>F!D301</f>
        <v>0</v>
      </c>
      <c r="E41" s="194">
        <v>0</v>
      </c>
      <c r="F41" s="26">
        <f>D41*E41</f>
        <v>0</v>
      </c>
      <c r="G41" s="191"/>
      <c r="H41" s="2266"/>
      <c r="I41" s="64"/>
    </row>
    <row r="42" spans="1:9" x14ac:dyDescent="0.2">
      <c r="A42" s="1183"/>
      <c r="B42" s="2247"/>
      <c r="C42" s="700" t="str">
        <f>F!C302</f>
        <v>25-50%.</v>
      </c>
      <c r="D42" s="399">
        <f>F!D302</f>
        <v>0</v>
      </c>
      <c r="E42" s="194">
        <v>1</v>
      </c>
      <c r="F42" s="26">
        <f>D42*E42</f>
        <v>0</v>
      </c>
      <c r="G42" s="192"/>
      <c r="H42" s="2266"/>
      <c r="I42" s="64"/>
    </row>
    <row r="43" spans="1:9" ht="13.5" thickBot="1" x14ac:dyDescent="0.25">
      <c r="A43" s="1184"/>
      <c r="B43" s="2248"/>
      <c r="C43" s="698" t="str">
        <f>F!C303</f>
        <v>&gt;50%.</v>
      </c>
      <c r="D43" s="411">
        <f>F!D303</f>
        <v>0</v>
      </c>
      <c r="E43" s="237">
        <v>2</v>
      </c>
      <c r="F43" s="67">
        <f>D43*E43</f>
        <v>0</v>
      </c>
      <c r="G43" s="193"/>
      <c r="H43" s="2267"/>
      <c r="I43" s="282"/>
    </row>
    <row r="44" spans="1:9" ht="26.25" thickBot="1" x14ac:dyDescent="0.25">
      <c r="A44" s="2360" t="str">
        <f>F!A304</f>
        <v>F57</v>
      </c>
      <c r="B44" s="2246" t="str">
        <f>F!B304</f>
        <v>Non-consumptive Uses - Actual or Potential [WBFb, CRI, STR]</v>
      </c>
      <c r="C44" s="357" t="str">
        <f>F!C304</f>
        <v>Assuming access permission was granted, select ALL statements that are true of the AA as it currently exists:</v>
      </c>
      <c r="D44" s="784"/>
      <c r="E44" s="28"/>
      <c r="F44" s="32"/>
      <c r="G44" s="183">
        <f>SUM(D45:D47)/3</f>
        <v>0</v>
      </c>
      <c r="H44" s="2271" t="s">
        <v>2824</v>
      </c>
      <c r="I44" s="283" t="s">
        <v>2825</v>
      </c>
    </row>
    <row r="45" spans="1:9" ht="26.25" thickBot="1" x14ac:dyDescent="0.25">
      <c r="A45" s="2361"/>
      <c r="B45" s="2247"/>
      <c r="C45" s="699" t="str">
        <f>F!C305</f>
        <v>For an average person, walking is physically possible in (not just near) &gt;5% of the AA during most of the growing season, e.g., free of deep water and dense shrub thickets.</v>
      </c>
      <c r="D45" s="765">
        <f>F!D305</f>
        <v>0</v>
      </c>
      <c r="E45" s="26">
        <v>1</v>
      </c>
      <c r="F45" s="26"/>
      <c r="G45" s="191"/>
      <c r="H45" s="2266"/>
      <c r="I45" s="64"/>
    </row>
    <row r="46" spans="1:9" ht="25.5" x14ac:dyDescent="0.2">
      <c r="A46" s="2361"/>
      <c r="B46" s="2247"/>
      <c r="C46" s="695" t="str">
        <f>F!C306</f>
        <v>Maintained roads, parking areas, or foot-trails are within 10 m of the AA, or the AA can be accessed part of the year by boats arriving via contiguous waters.</v>
      </c>
      <c r="D46" s="398">
        <f>F!D306</f>
        <v>0</v>
      </c>
      <c r="E46" s="26">
        <v>1</v>
      </c>
      <c r="F46" s="26"/>
      <c r="G46" s="192"/>
      <c r="H46" s="2266"/>
      <c r="I46" s="64"/>
    </row>
    <row r="47" spans="1:9" ht="26.25" thickBot="1" x14ac:dyDescent="0.25">
      <c r="A47" s="2362"/>
      <c r="B47" s="2247"/>
      <c r="C47" s="698" t="str">
        <f>F!C307</f>
        <v xml:space="preserve">Within or near the AA, there is an interpretive center, trails with interpretive signs or brochures, and/or regular guided interpretive tours. </v>
      </c>
      <c r="D47" s="411">
        <f>F!D307</f>
        <v>0</v>
      </c>
      <c r="E47" s="25">
        <v>1</v>
      </c>
      <c r="F47" s="25"/>
      <c r="G47" s="211"/>
      <c r="H47" s="2266"/>
      <c r="I47" s="282"/>
    </row>
    <row r="48" spans="1:9" ht="26.25" thickBot="1" x14ac:dyDescent="0.25">
      <c r="A48" s="1182" t="str">
        <f>F!A308</f>
        <v>F58</v>
      </c>
      <c r="B48" s="2246"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v>
      </c>
      <c r="H48" s="2271" t="s">
        <v>2826</v>
      </c>
      <c r="I48" s="283" t="s">
        <v>2827</v>
      </c>
    </row>
    <row r="49" spans="1:9" x14ac:dyDescent="0.2">
      <c r="A49" s="1183"/>
      <c r="B49" s="2247"/>
      <c r="C49" s="699" t="str">
        <f>F!C309</f>
        <v>&lt;5% and no inhabited building is within 100 m of the AA.</v>
      </c>
      <c r="D49" s="399">
        <f>F!D309</f>
        <v>0</v>
      </c>
      <c r="E49" s="194">
        <v>4</v>
      </c>
      <c r="F49" s="26">
        <f t="shared" ref="F49:F54" si="1">D49*E49</f>
        <v>0</v>
      </c>
      <c r="G49" s="191"/>
      <c r="H49" s="2266"/>
      <c r="I49" s="64"/>
    </row>
    <row r="50" spans="1:9" x14ac:dyDescent="0.2">
      <c r="A50" s="1183"/>
      <c r="B50" s="2247"/>
      <c r="C50" s="695" t="str">
        <f>F!C310</f>
        <v>&lt;5% and inhabited building is within 100 m of the AA.</v>
      </c>
      <c r="D50" s="398">
        <f>F!D310</f>
        <v>0</v>
      </c>
      <c r="E50" s="26">
        <v>5</v>
      </c>
      <c r="F50" s="26">
        <f t="shared" si="1"/>
        <v>0</v>
      </c>
      <c r="G50" s="192"/>
      <c r="H50" s="2266"/>
      <c r="I50" s="64"/>
    </row>
    <row r="51" spans="1:9" x14ac:dyDescent="0.2">
      <c r="A51" s="1183"/>
      <c r="B51" s="2247"/>
      <c r="C51" s="700" t="str">
        <f>F!C311</f>
        <v>5-50% and no inhabited building is within 100 m of the AA.</v>
      </c>
      <c r="D51" s="399">
        <f>F!D311</f>
        <v>0</v>
      </c>
      <c r="E51" s="26">
        <v>2</v>
      </c>
      <c r="F51" s="26">
        <f t="shared" si="1"/>
        <v>0</v>
      </c>
      <c r="G51" s="192"/>
      <c r="H51" s="2266"/>
      <c r="I51" s="64"/>
    </row>
    <row r="52" spans="1:9" x14ac:dyDescent="0.2">
      <c r="A52" s="1183"/>
      <c r="B52" s="2247"/>
      <c r="C52" s="700" t="str">
        <f>F!C312</f>
        <v>5-50% and inhabited building is within 100 m of the AA.</v>
      </c>
      <c r="D52" s="399">
        <f>F!D312</f>
        <v>0</v>
      </c>
      <c r="E52" s="26">
        <v>3</v>
      </c>
      <c r="F52" s="26">
        <f t="shared" si="1"/>
        <v>0</v>
      </c>
      <c r="G52" s="192"/>
      <c r="H52" s="2266"/>
      <c r="I52" s="64"/>
    </row>
    <row r="53" spans="1:9" x14ac:dyDescent="0.2">
      <c r="A53" s="1183"/>
      <c r="B53" s="2247"/>
      <c r="C53" s="700" t="str">
        <f>F!C313</f>
        <v>50-95%, with or without inhabited building nearby.</v>
      </c>
      <c r="D53" s="399">
        <f>F!D313</f>
        <v>0</v>
      </c>
      <c r="E53" s="26">
        <v>1</v>
      </c>
      <c r="F53" s="26">
        <f t="shared" si="1"/>
        <v>0</v>
      </c>
      <c r="G53" s="192"/>
      <c r="H53" s="2266"/>
      <c r="I53" s="64"/>
    </row>
    <row r="54" spans="1:9" ht="13.5" thickBot="1" x14ac:dyDescent="0.25">
      <c r="A54" s="1184"/>
      <c r="B54" s="2248"/>
      <c r="C54" s="696" t="str">
        <f>F!C314</f>
        <v>&gt;95% of the AA with or without inhabited building nearby.</v>
      </c>
      <c r="D54" s="400">
        <f>F!D314</f>
        <v>0</v>
      </c>
      <c r="E54" s="67">
        <v>0</v>
      </c>
      <c r="F54" s="67">
        <f t="shared" si="1"/>
        <v>0</v>
      </c>
      <c r="G54" s="193"/>
      <c r="H54" s="2267"/>
      <c r="I54" s="282"/>
    </row>
    <row r="55" spans="1:9" ht="26.25" thickBot="1" x14ac:dyDescent="0.25">
      <c r="A55" s="1183" t="str">
        <f>F!A316</f>
        <v>F59</v>
      </c>
      <c r="B55" s="2247"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266" t="s">
        <v>1148</v>
      </c>
      <c r="I55" s="283" t="s">
        <v>2828</v>
      </c>
    </row>
    <row r="56" spans="1:9" ht="26.25" thickBot="1" x14ac:dyDescent="0.25">
      <c r="A56" s="1183"/>
      <c r="B56" s="2247"/>
      <c r="C56" s="357" t="str">
        <f>F!C317</f>
        <v>&lt;5%. If F58 was answered "&gt;95%" (mostly never visited), SKIP to F62 (Consumptive Uses).</v>
      </c>
      <c r="D56" s="399">
        <f>F!D317</f>
        <v>0</v>
      </c>
      <c r="E56" s="194">
        <v>0</v>
      </c>
      <c r="F56" s="26">
        <f>D56*E56</f>
        <v>0</v>
      </c>
      <c r="G56" s="191"/>
      <c r="H56" s="2266"/>
      <c r="I56" s="64"/>
    </row>
    <row r="57" spans="1:9" x14ac:dyDescent="0.2">
      <c r="A57" s="1183"/>
      <c r="B57" s="2247"/>
      <c r="C57" s="695" t="str">
        <f>F!C318</f>
        <v>5-50%.</v>
      </c>
      <c r="D57" s="398">
        <f>F!D318</f>
        <v>0</v>
      </c>
      <c r="E57" s="26">
        <v>1</v>
      </c>
      <c r="F57" s="26">
        <f>D57*E57</f>
        <v>0</v>
      </c>
      <c r="G57" s="192"/>
      <c r="H57" s="2266"/>
      <c r="I57" s="64"/>
    </row>
    <row r="58" spans="1:9" x14ac:dyDescent="0.2">
      <c r="A58" s="1183"/>
      <c r="B58" s="2247"/>
      <c r="C58" s="700" t="str">
        <f>F!C319</f>
        <v>50-95%.</v>
      </c>
      <c r="D58" s="399">
        <f>F!D319</f>
        <v>0</v>
      </c>
      <c r="E58" s="26">
        <v>2</v>
      </c>
      <c r="F58" s="26">
        <f>D58*E58</f>
        <v>0</v>
      </c>
      <c r="G58" s="192"/>
      <c r="H58" s="2266"/>
      <c r="I58" s="64"/>
    </row>
    <row r="59" spans="1:9" ht="13.5" thickBot="1" x14ac:dyDescent="0.25">
      <c r="A59" s="1183"/>
      <c r="B59" s="2247"/>
      <c r="C59" s="698" t="str">
        <f>F!C320</f>
        <v>&gt;95% of the AA.</v>
      </c>
      <c r="D59" s="411">
        <f>F!D320</f>
        <v>0</v>
      </c>
      <c r="E59" s="25">
        <v>3</v>
      </c>
      <c r="F59" s="25">
        <f>D59*E59</f>
        <v>0</v>
      </c>
      <c r="G59" s="211"/>
      <c r="H59" s="2266"/>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60" t="str">
        <f>F!A323</f>
        <v>F62</v>
      </c>
      <c r="B62" s="250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765" t="s">
        <v>2832</v>
      </c>
      <c r="I62" s="2297" t="s">
        <v>2833</v>
      </c>
    </row>
    <row r="63" spans="1:9" x14ac:dyDescent="0.2">
      <c r="A63" s="2361"/>
      <c r="B63" s="2506"/>
      <c r="C63" s="700" t="str">
        <f>F!C324</f>
        <v>Low-impact commercial timber harvest (e.g., selective thinning)</v>
      </c>
      <c r="D63" s="399">
        <f>F!D324</f>
        <v>0</v>
      </c>
      <c r="E63" s="26"/>
      <c r="F63" s="26"/>
      <c r="G63" s="212"/>
      <c r="H63" s="2766"/>
      <c r="I63" s="2298"/>
    </row>
    <row r="64" spans="1:9" x14ac:dyDescent="0.2">
      <c r="A64" s="2361"/>
      <c r="B64" s="2506"/>
      <c r="C64" s="700" t="str">
        <f>F!C325</f>
        <v>Commercial or traditional-use harvesting of native plants, their fruits, or mushrooms</v>
      </c>
      <c r="D64" s="399">
        <f>F!D325</f>
        <v>0</v>
      </c>
      <c r="E64" s="26"/>
      <c r="F64" s="26"/>
      <c r="G64" s="213"/>
      <c r="H64" s="2766"/>
      <c r="I64" s="2298"/>
    </row>
    <row r="65" spans="1:10" x14ac:dyDescent="0.2">
      <c r="A65" s="2361"/>
      <c r="B65" s="2506"/>
      <c r="C65" s="700" t="str">
        <f>F!C326</f>
        <v>Waterfowl hunting</v>
      </c>
      <c r="D65" s="399">
        <f>F!D326</f>
        <v>0</v>
      </c>
      <c r="E65" s="26"/>
      <c r="F65" s="26"/>
      <c r="G65" s="213"/>
      <c r="H65" s="2766"/>
      <c r="I65" s="2298"/>
    </row>
    <row r="66" spans="1:10" x14ac:dyDescent="0.2">
      <c r="A66" s="2361"/>
      <c r="B66" s="2506"/>
      <c r="C66" s="700" t="str">
        <f>F!C327</f>
        <v>Moose hunting</v>
      </c>
      <c r="D66" s="399">
        <f>F!D327</f>
        <v>0</v>
      </c>
      <c r="E66" s="26"/>
      <c r="F66" s="26"/>
      <c r="G66" s="213"/>
      <c r="H66" s="2766"/>
      <c r="I66" s="2298"/>
    </row>
    <row r="67" spans="1:10" x14ac:dyDescent="0.2">
      <c r="A67" s="2361"/>
      <c r="B67" s="2506"/>
      <c r="C67" s="700" t="str">
        <f>F!C328</f>
        <v>Fishing</v>
      </c>
      <c r="D67" s="399">
        <f>F!D328</f>
        <v>0</v>
      </c>
      <c r="E67" s="26"/>
      <c r="F67" s="26"/>
      <c r="G67" s="213"/>
      <c r="H67" s="2766"/>
      <c r="I67" s="2298"/>
    </row>
    <row r="68" spans="1:10" x14ac:dyDescent="0.2">
      <c r="A68" s="2361"/>
      <c r="B68" s="2506"/>
      <c r="C68" s="700" t="str">
        <f>F!C329</f>
        <v>Trapping of furbearers</v>
      </c>
      <c r="D68" s="399">
        <f>F!D329</f>
        <v>0</v>
      </c>
      <c r="E68" s="26"/>
      <c r="F68" s="26"/>
      <c r="G68" s="213"/>
      <c r="H68" s="2766"/>
      <c r="I68" s="2298"/>
    </row>
    <row r="69" spans="1:10" ht="13.5" thickBot="1" x14ac:dyDescent="0.25">
      <c r="A69" s="2361"/>
      <c r="B69" s="2509"/>
      <c r="C69" s="698" t="str">
        <f>F!C330</f>
        <v>None of the above</v>
      </c>
      <c r="D69" s="411">
        <f>F!D330</f>
        <v>0</v>
      </c>
      <c r="E69" s="25"/>
      <c r="F69" s="25"/>
      <c r="G69" s="215"/>
      <c r="H69" s="2767"/>
      <c r="I69" s="2299"/>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98" t="s">
        <v>2839</v>
      </c>
      <c r="D73" s="2756" t="s">
        <v>2840</v>
      </c>
      <c r="E73" s="2757"/>
      <c r="F73" s="2758"/>
      <c r="G73" s="655">
        <f>AVERAGE(Visibility,DistRdPU, Core1PU,Core2PU,PopCtrDisPU,TidalProxPU)</f>
        <v>0</v>
      </c>
      <c r="H73" s="656" t="s">
        <v>2841</v>
      </c>
      <c r="I73" s="322" t="s">
        <v>2842</v>
      </c>
      <c r="J73" s="297" t="s">
        <v>2843</v>
      </c>
    </row>
    <row r="74" spans="1:10" ht="31.5" customHeight="1" x14ac:dyDescent="0.2">
      <c r="A74" s="307"/>
      <c r="B74" s="307"/>
      <c r="C74" s="2399"/>
      <c r="D74" s="2759" t="s">
        <v>2844</v>
      </c>
      <c r="E74" s="2760"/>
      <c r="F74" s="2761"/>
      <c r="G74" s="657">
        <f>IFERROR(MAX(MitigaSite,ConsInvest,SciUse,ConsDesig1),"")</f>
        <v>0</v>
      </c>
      <c r="H74" s="658" t="s">
        <v>2845</v>
      </c>
      <c r="I74" s="323" t="s">
        <v>2846</v>
      </c>
      <c r="J74" s="295" t="s">
        <v>2847</v>
      </c>
    </row>
    <row r="75" spans="1:10" ht="42.75" customHeight="1" x14ac:dyDescent="0.2">
      <c r="A75" s="307"/>
      <c r="B75" s="307"/>
      <c r="C75" s="2399"/>
      <c r="D75" s="2762" t="s">
        <v>2848</v>
      </c>
      <c r="E75" s="2763"/>
      <c r="F75" s="2764"/>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400"/>
      <c r="D76" s="2754" t="s">
        <v>2852</v>
      </c>
      <c r="E76" s="2755"/>
      <c r="F76" s="2755"/>
      <c r="G76" s="659">
        <f>MAX(Wells19, Uses19)</f>
        <v>0</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 ref="D76:F76"/>
    <mergeCell ref="I26:I28"/>
    <mergeCell ref="C73:C76"/>
    <mergeCell ref="D73:F73"/>
    <mergeCell ref="D74:F74"/>
    <mergeCell ref="D75:F75"/>
    <mergeCell ref="H55:H59"/>
    <mergeCell ref="H40:H43"/>
    <mergeCell ref="H44:H47"/>
    <mergeCell ref="H48:H54"/>
    <mergeCell ref="H33:H37"/>
    <mergeCell ref="A1:B1"/>
    <mergeCell ref="H3:H8"/>
    <mergeCell ref="B3:B8"/>
    <mergeCell ref="B13:B19"/>
    <mergeCell ref="H13:H19"/>
    <mergeCell ref="H9:H12"/>
    <mergeCell ref="B9:B12"/>
    <mergeCell ref="A9:A12"/>
    <mergeCell ref="A3:A8"/>
    <mergeCell ref="A13:A19"/>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16" t="s">
        <v>2869</v>
      </c>
      <c r="B1" s="2417"/>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68" t="str">
        <f>OF!A18</f>
        <v>OF3</v>
      </c>
      <c r="B3" s="2543"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v>
      </c>
      <c r="H3" s="2271" t="s">
        <v>2871</v>
      </c>
      <c r="I3" s="384" t="s">
        <v>2872</v>
      </c>
    </row>
    <row r="4" spans="1:9" s="23" customFormat="1" x14ac:dyDescent="0.2">
      <c r="A4" s="2769"/>
      <c r="B4" s="2544"/>
      <c r="C4" s="150" t="str">
        <f>OF!C19</f>
        <v>&lt;0.01 hectare (about 10 m x 10 m).</v>
      </c>
      <c r="D4" s="401">
        <f>OF!D19</f>
        <v>0</v>
      </c>
      <c r="E4" s="26">
        <v>5</v>
      </c>
      <c r="F4" s="93">
        <f t="shared" ref="F4:F9" si="0">D4*E4</f>
        <v>0</v>
      </c>
      <c r="G4" s="260"/>
      <c r="H4" s="2266"/>
      <c r="I4" s="359"/>
    </row>
    <row r="5" spans="1:9" s="23" customFormat="1" x14ac:dyDescent="0.2">
      <c r="A5" s="2769"/>
      <c r="B5" s="2544"/>
      <c r="C5" s="281" t="str">
        <f>OF!C20</f>
        <v>0.01 - 0.1 hectare.</v>
      </c>
      <c r="D5" s="558">
        <f>OF!D20</f>
        <v>0</v>
      </c>
      <c r="E5" s="26">
        <v>4</v>
      </c>
      <c r="F5" s="93">
        <f t="shared" si="0"/>
        <v>0</v>
      </c>
      <c r="G5" s="261"/>
      <c r="H5" s="2266"/>
      <c r="I5" s="359"/>
    </row>
    <row r="6" spans="1:9" s="23" customFormat="1" x14ac:dyDescent="0.2">
      <c r="A6" s="2769"/>
      <c r="B6" s="2544"/>
      <c r="C6" s="281" t="str">
        <f>OF!C21</f>
        <v>0.1 - 1 hectare.</v>
      </c>
      <c r="D6" s="558">
        <f>OF!D21</f>
        <v>0</v>
      </c>
      <c r="E6" s="26">
        <v>3</v>
      </c>
      <c r="F6" s="93">
        <f t="shared" si="0"/>
        <v>0</v>
      </c>
      <c r="G6" s="261"/>
      <c r="H6" s="2266"/>
      <c r="I6" s="359"/>
    </row>
    <row r="7" spans="1:9" s="23" customFormat="1" x14ac:dyDescent="0.2">
      <c r="A7" s="2769"/>
      <c r="B7" s="2544"/>
      <c r="C7" s="878" t="str">
        <f>OF!C22</f>
        <v>1 to 10 hectares.</v>
      </c>
      <c r="D7" s="1445">
        <f>OF!D22</f>
        <v>0</v>
      </c>
      <c r="E7" s="26">
        <v>3</v>
      </c>
      <c r="F7" s="93">
        <f t="shared" si="0"/>
        <v>0</v>
      </c>
      <c r="G7" s="261"/>
      <c r="H7" s="2266"/>
      <c r="I7" s="359"/>
    </row>
    <row r="8" spans="1:9" s="23" customFormat="1" x14ac:dyDescent="0.2">
      <c r="A8" s="2769"/>
      <c r="B8" s="2544"/>
      <c r="C8" s="878" t="str">
        <f>OF!C23</f>
        <v>10 to 100 hectares.</v>
      </c>
      <c r="D8" s="1445">
        <f>OF!D23</f>
        <v>0</v>
      </c>
      <c r="E8" s="26">
        <v>2</v>
      </c>
      <c r="F8" s="93">
        <f t="shared" si="0"/>
        <v>0</v>
      </c>
      <c r="G8" s="261"/>
      <c r="H8" s="2266"/>
      <c r="I8" s="359"/>
    </row>
    <row r="9" spans="1:9" s="23" customFormat="1" ht="13.5" thickBot="1" x14ac:dyDescent="0.25">
      <c r="A9" s="2770"/>
      <c r="B9" s="2545"/>
      <c r="C9" s="374" t="str">
        <f>OF!C24</f>
        <v>&gt;100 hectares.</v>
      </c>
      <c r="D9" s="882">
        <f>OF!D24</f>
        <v>0</v>
      </c>
      <c r="E9" s="67">
        <v>0</v>
      </c>
      <c r="F9" s="97">
        <f t="shared" si="0"/>
        <v>0</v>
      </c>
      <c r="G9" s="262"/>
      <c r="H9" s="2267"/>
      <c r="I9" s="335"/>
    </row>
    <row r="10" spans="1:9" s="23" customFormat="1" ht="39" thickBot="1" x14ac:dyDescent="0.25">
      <c r="A10" s="2771"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v>
      </c>
      <c r="H10" s="2266" t="s">
        <v>1148</v>
      </c>
      <c r="I10" s="384" t="s">
        <v>2873</v>
      </c>
    </row>
    <row r="11" spans="1:9" s="23" customFormat="1" x14ac:dyDescent="0.2">
      <c r="A11" s="2259"/>
      <c r="B11" s="2544"/>
      <c r="C11" s="150" t="str">
        <f>OF!C26</f>
        <v>&lt;0.01 hectare (about 10 m x 10 m).</v>
      </c>
      <c r="D11" s="401">
        <f>OF!D26</f>
        <v>0</v>
      </c>
      <c r="E11" s="26">
        <v>5</v>
      </c>
      <c r="F11" s="93">
        <f>D11*E11</f>
        <v>0</v>
      </c>
      <c r="G11" s="260"/>
      <c r="H11" s="2266"/>
      <c r="I11" s="359"/>
    </row>
    <row r="12" spans="1:9" s="23" customFormat="1" x14ac:dyDescent="0.2">
      <c r="A12" s="2259"/>
      <c r="B12" s="2544"/>
      <c r="C12" s="281" t="str">
        <f>OF!C27</f>
        <v>0.01 - 0.1 hectare.</v>
      </c>
      <c r="D12" s="558">
        <f>OF!D27</f>
        <v>0</v>
      </c>
      <c r="E12" s="26">
        <v>4</v>
      </c>
      <c r="F12" s="93">
        <f>D12*E12</f>
        <v>0</v>
      </c>
      <c r="G12" s="261"/>
      <c r="H12" s="2266"/>
      <c r="I12" s="359"/>
    </row>
    <row r="13" spans="1:9" s="23" customFormat="1" x14ac:dyDescent="0.2">
      <c r="A13" s="2259"/>
      <c r="B13" s="2544"/>
      <c r="C13" s="281" t="str">
        <f>OF!C28</f>
        <v>0.1 - 1 hectare.</v>
      </c>
      <c r="D13" s="558">
        <f>OF!D28</f>
        <v>0</v>
      </c>
      <c r="E13" s="26">
        <v>3</v>
      </c>
      <c r="F13" s="93">
        <f>D13*E13</f>
        <v>0</v>
      </c>
      <c r="G13" s="261"/>
      <c r="H13" s="2266"/>
      <c r="I13" s="359"/>
    </row>
    <row r="14" spans="1:9" s="23" customFormat="1" x14ac:dyDescent="0.2">
      <c r="A14" s="2259"/>
      <c r="B14" s="2544"/>
      <c r="C14" s="878" t="str">
        <f>OF!C31</f>
        <v>100 to 1000 hectares.</v>
      </c>
      <c r="D14" s="1445">
        <f>OF!D31</f>
        <v>0</v>
      </c>
      <c r="E14" s="26">
        <v>2</v>
      </c>
      <c r="F14" s="93">
        <f>D14*E14</f>
        <v>0</v>
      </c>
      <c r="G14" s="261"/>
      <c r="H14" s="2266"/>
      <c r="I14" s="359"/>
    </row>
    <row r="15" spans="1:9" s="23" customFormat="1" ht="13.5" thickBot="1" x14ac:dyDescent="0.25">
      <c r="A15" s="2259"/>
      <c r="B15" s="2589"/>
      <c r="C15" s="1444" t="str">
        <f>OF!C32</f>
        <v>&gt;1000 hectares. [This is nearly always the answer in relatively undeveloped landscapes.]</v>
      </c>
      <c r="D15" s="1446">
        <f>OF!D32</f>
        <v>0</v>
      </c>
      <c r="E15" s="25">
        <v>0</v>
      </c>
      <c r="F15" s="95">
        <f>D15*E15</f>
        <v>0</v>
      </c>
      <c r="G15" s="264"/>
      <c r="H15" s="2266"/>
      <c r="I15" s="335"/>
    </row>
    <row r="16" spans="1:9" s="23" customFormat="1" ht="29.25" customHeight="1" thickBot="1" x14ac:dyDescent="0.25">
      <c r="A16" s="2605" t="str">
        <f>OF!A33</f>
        <v>OF5</v>
      </c>
      <c r="B16" s="2543"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v>
      </c>
      <c r="H16" s="2271" t="s">
        <v>2874</v>
      </c>
      <c r="I16" s="384" t="s">
        <v>2875</v>
      </c>
    </row>
    <row r="17" spans="1:9" s="23" customFormat="1" ht="43.5" customHeight="1" x14ac:dyDescent="0.2">
      <c r="A17" s="2259"/>
      <c r="B17" s="2544"/>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66"/>
      <c r="I17" s="359"/>
    </row>
    <row r="18" spans="1:9" s="23" customFormat="1" ht="25.5" x14ac:dyDescent="0.2">
      <c r="A18" s="2259"/>
      <c r="B18" s="2544"/>
      <c r="C18" s="2" t="str">
        <f>OF!C35</f>
        <v>&lt;50 m, but completely separated from the 375-ha vegetated area by those features, and AA does not contain &gt;375 ha of vegetation.</v>
      </c>
      <c r="D18" s="479">
        <f>OF!D35</f>
        <v>0</v>
      </c>
      <c r="E18" s="26">
        <v>1</v>
      </c>
      <c r="F18" s="93">
        <f t="shared" si="1"/>
        <v>0</v>
      </c>
      <c r="G18" s="261"/>
      <c r="H18" s="2266"/>
      <c r="I18" s="359"/>
    </row>
    <row r="19" spans="1:9" s="23" customFormat="1" x14ac:dyDescent="0.2">
      <c r="A19" s="2259"/>
      <c r="B19" s="2544"/>
      <c r="C19" s="281" t="str">
        <f>OF!C36</f>
        <v>50-500 m, and not separated.</v>
      </c>
      <c r="D19" s="558">
        <f>OF!D36</f>
        <v>0</v>
      </c>
      <c r="E19" s="26">
        <v>2</v>
      </c>
      <c r="F19" s="93">
        <f t="shared" si="1"/>
        <v>0</v>
      </c>
      <c r="G19" s="261"/>
      <c r="H19" s="2266"/>
      <c r="I19" s="359"/>
    </row>
    <row r="20" spans="1:9" s="23" customFormat="1" x14ac:dyDescent="0.2">
      <c r="A20" s="2259"/>
      <c r="B20" s="2544"/>
      <c r="C20" s="2" t="str">
        <f>OF!C37</f>
        <v>50-500 m, but separated by those features.</v>
      </c>
      <c r="D20" s="479">
        <f>OF!D37</f>
        <v>0</v>
      </c>
      <c r="E20" s="26">
        <v>3</v>
      </c>
      <c r="F20" s="93">
        <f t="shared" si="1"/>
        <v>0</v>
      </c>
      <c r="G20" s="261"/>
      <c r="H20" s="2266"/>
      <c r="I20" s="359"/>
    </row>
    <row r="21" spans="1:9" s="23" customFormat="1" x14ac:dyDescent="0.2">
      <c r="A21" s="2259"/>
      <c r="B21" s="2544"/>
      <c r="C21" s="281" t="str">
        <f>OF!C38</f>
        <v>0.5 - 5 km, and not separated.</v>
      </c>
      <c r="D21" s="558">
        <f>OF!D38</f>
        <v>0</v>
      </c>
      <c r="E21" s="26">
        <v>4</v>
      </c>
      <c r="F21" s="93">
        <f t="shared" si="1"/>
        <v>0</v>
      </c>
      <c r="G21" s="261"/>
      <c r="H21" s="2266"/>
      <c r="I21" s="359"/>
    </row>
    <row r="22" spans="1:9" s="23" customFormat="1" x14ac:dyDescent="0.2">
      <c r="A22" s="2259"/>
      <c r="B22" s="2544"/>
      <c r="C22" s="281" t="str">
        <f>OF!C39</f>
        <v>0.5 - 5 km, but separated by those features.</v>
      </c>
      <c r="D22" s="558">
        <f>OF!D39</f>
        <v>0</v>
      </c>
      <c r="E22" s="26">
        <v>5</v>
      </c>
      <c r="F22" s="93">
        <f t="shared" si="1"/>
        <v>0</v>
      </c>
      <c r="G22" s="261"/>
      <c r="H22" s="2266"/>
      <c r="I22" s="359"/>
    </row>
    <row r="23" spans="1:9" s="23" customFormat="1" ht="13.5" thickBot="1" x14ac:dyDescent="0.25">
      <c r="A23" s="2260"/>
      <c r="B23" s="2545"/>
      <c r="C23" s="249" t="str">
        <f>OF!C40</f>
        <v>None of the above (the closest patches or corridors which are that large are &gt;5 km away).</v>
      </c>
      <c r="D23" s="794">
        <f>OF!D40</f>
        <v>0</v>
      </c>
      <c r="E23" s="77">
        <v>6</v>
      </c>
      <c r="F23" s="97">
        <f t="shared" si="1"/>
        <v>0</v>
      </c>
      <c r="G23" s="262"/>
      <c r="H23" s="2267"/>
      <c r="I23" s="335"/>
    </row>
    <row r="24" spans="1:9" s="23" customFormat="1" ht="51.75" thickBot="1" x14ac:dyDescent="0.25">
      <c r="A24" s="2259" t="str">
        <f>OF!A46</f>
        <v>OF8</v>
      </c>
      <c r="B24" s="2508"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v>
      </c>
      <c r="H24" s="2266" t="s">
        <v>1148</v>
      </c>
      <c r="I24" s="384" t="s">
        <v>2876</v>
      </c>
    </row>
    <row r="25" spans="1:9" s="23" customFormat="1" x14ac:dyDescent="0.2">
      <c r="A25" s="2259"/>
      <c r="B25" s="2506"/>
      <c r="C25" s="2" t="str">
        <f>OF!C47</f>
        <v xml:space="preserve">&lt;5% of the land. </v>
      </c>
      <c r="D25" s="479">
        <f>OF!D47</f>
        <v>0</v>
      </c>
      <c r="E25" s="26">
        <v>5</v>
      </c>
      <c r="F25" s="93">
        <f>D25*E25</f>
        <v>0</v>
      </c>
      <c r="G25" s="261"/>
      <c r="H25" s="2266"/>
      <c r="I25" s="359"/>
    </row>
    <row r="26" spans="1:9" s="23" customFormat="1" x14ac:dyDescent="0.2">
      <c r="A26" s="2259"/>
      <c r="B26" s="2506"/>
      <c r="C26" s="151" t="str">
        <f>OF!C48</f>
        <v>5 to 20% of the land.</v>
      </c>
      <c r="D26" s="557">
        <f>OF!D48</f>
        <v>0</v>
      </c>
      <c r="E26" s="26">
        <v>4</v>
      </c>
      <c r="F26" s="93">
        <f>D26*E26</f>
        <v>0</v>
      </c>
      <c r="G26" s="261"/>
      <c r="H26" s="2266"/>
      <c r="I26" s="359"/>
    </row>
    <row r="27" spans="1:9" s="23" customFormat="1" x14ac:dyDescent="0.2">
      <c r="A27" s="2259"/>
      <c r="B27" s="2506"/>
      <c r="C27" s="281" t="str">
        <f>OF!C49</f>
        <v>20 to 60% of the land.</v>
      </c>
      <c r="D27" s="558">
        <f>OF!D49</f>
        <v>0</v>
      </c>
      <c r="E27" s="26">
        <v>3</v>
      </c>
      <c r="F27" s="93">
        <f>D27*E27</f>
        <v>0</v>
      </c>
      <c r="G27" s="261"/>
      <c r="H27" s="2266"/>
      <c r="I27" s="359"/>
    </row>
    <row r="28" spans="1:9" s="23" customFormat="1" x14ac:dyDescent="0.2">
      <c r="A28" s="2259"/>
      <c r="B28" s="2506"/>
      <c r="C28" s="281" t="str">
        <f>OF!C50</f>
        <v>60 to 90% of the land.</v>
      </c>
      <c r="D28" s="558">
        <f>OF!D50</f>
        <v>0</v>
      </c>
      <c r="E28" s="26">
        <v>2</v>
      </c>
      <c r="F28" s="93">
        <f>D28*E28</f>
        <v>0</v>
      </c>
      <c r="G28" s="261"/>
      <c r="H28" s="2266"/>
      <c r="I28" s="359"/>
    </row>
    <row r="29" spans="1:9" s="23" customFormat="1" ht="13.5" thickBot="1" x14ac:dyDescent="0.25">
      <c r="A29" s="2259"/>
      <c r="B29" s="2509"/>
      <c r="C29" s="2" t="str">
        <f>OF!C51</f>
        <v xml:space="preserve">&gt;90% of the land. </v>
      </c>
      <c r="D29" s="479">
        <f>OF!D51</f>
        <v>0</v>
      </c>
      <c r="E29" s="25">
        <v>0</v>
      </c>
      <c r="F29" s="95">
        <f>D29*E29</f>
        <v>0</v>
      </c>
      <c r="G29" s="264"/>
      <c r="H29" s="2266"/>
      <c r="I29" s="335"/>
    </row>
    <row r="30" spans="1:9" s="23" customFormat="1" ht="26.25" thickBot="1" x14ac:dyDescent="0.25">
      <c r="A30" s="2605" t="str">
        <f>OF!A74</f>
        <v>OF13</v>
      </c>
      <c r="B30" s="250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v>
      </c>
      <c r="H30" s="2271" t="s">
        <v>1148</v>
      </c>
      <c r="I30" s="384" t="s">
        <v>2877</v>
      </c>
    </row>
    <row r="31" spans="1:9" s="23" customFormat="1" ht="25.5" x14ac:dyDescent="0.2">
      <c r="A31" s="2771"/>
      <c r="B31" s="250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266"/>
      <c r="I31" s="359"/>
    </row>
    <row r="32" spans="1:9" s="23" customFormat="1" x14ac:dyDescent="0.2">
      <c r="A32" s="2771"/>
      <c r="B32" s="2506"/>
      <c r="C32" s="150" t="str">
        <f>OF!C76</f>
        <v>&lt;50 m, but completely separated by those features.</v>
      </c>
      <c r="D32" s="401">
        <f>OF!D76</f>
        <v>0</v>
      </c>
      <c r="E32" s="26">
        <v>1</v>
      </c>
      <c r="F32" s="93">
        <f t="shared" si="2"/>
        <v>0</v>
      </c>
      <c r="G32" s="261"/>
      <c r="H32" s="2266"/>
      <c r="I32" s="359"/>
    </row>
    <row r="33" spans="1:9" s="23" customFormat="1" x14ac:dyDescent="0.2">
      <c r="A33" s="2771"/>
      <c r="B33" s="2506"/>
      <c r="C33" s="2" t="str">
        <f>OF!C77</f>
        <v>50-500 m, and not separated.</v>
      </c>
      <c r="D33" s="479">
        <f>OF!D77</f>
        <v>0</v>
      </c>
      <c r="E33" s="26">
        <v>2</v>
      </c>
      <c r="F33" s="93">
        <f t="shared" si="2"/>
        <v>0</v>
      </c>
      <c r="G33" s="261"/>
      <c r="H33" s="2266"/>
      <c r="I33" s="359"/>
    </row>
    <row r="34" spans="1:9" s="23" customFormat="1" x14ac:dyDescent="0.2">
      <c r="A34" s="2771"/>
      <c r="B34" s="2506"/>
      <c r="C34" s="281" t="str">
        <f>OF!C78</f>
        <v>50-500 m, but separated by those features.</v>
      </c>
      <c r="D34" s="558">
        <f>OF!D78</f>
        <v>0</v>
      </c>
      <c r="E34" s="26">
        <v>3</v>
      </c>
      <c r="F34" s="93">
        <f t="shared" si="2"/>
        <v>0</v>
      </c>
      <c r="G34" s="261"/>
      <c r="H34" s="2266"/>
      <c r="I34" s="359"/>
    </row>
    <row r="35" spans="1:9" s="23" customFormat="1" x14ac:dyDescent="0.2">
      <c r="A35" s="2771"/>
      <c r="B35" s="2506"/>
      <c r="C35" s="2" t="str">
        <f>OF!C79</f>
        <v>0.5 - 1 km, and not separated.</v>
      </c>
      <c r="D35" s="479">
        <f>OF!D79</f>
        <v>0</v>
      </c>
      <c r="E35" s="26">
        <v>4</v>
      </c>
      <c r="F35" s="93">
        <f t="shared" si="2"/>
        <v>0</v>
      </c>
      <c r="G35" s="261"/>
      <c r="H35" s="2266"/>
      <c r="I35" s="359"/>
    </row>
    <row r="36" spans="1:9" s="23" customFormat="1" x14ac:dyDescent="0.2">
      <c r="A36" s="2771"/>
      <c r="B36" s="2506"/>
      <c r="C36" s="281" t="str">
        <f>OF!C80</f>
        <v>0.5 - 1 km, but separated by those features.</v>
      </c>
      <c r="D36" s="558">
        <f>OF!D80</f>
        <v>0</v>
      </c>
      <c r="E36" s="25">
        <v>5</v>
      </c>
      <c r="F36" s="95">
        <f t="shared" si="2"/>
        <v>0</v>
      </c>
      <c r="G36" s="264"/>
      <c r="H36" s="2266"/>
      <c r="I36" s="359"/>
    </row>
    <row r="37" spans="1:9" s="23" customFormat="1" ht="13.5" thickBot="1" x14ac:dyDescent="0.25">
      <c r="A37" s="2772"/>
      <c r="B37" s="2507"/>
      <c r="C37" s="249" t="str">
        <f>OF!C81</f>
        <v>None of the above (the closest patches or corridors that large are &gt;1 km away).</v>
      </c>
      <c r="D37" s="794">
        <f>OF!D81</f>
        <v>0</v>
      </c>
      <c r="E37" s="67">
        <v>6</v>
      </c>
      <c r="F37" s="97">
        <f t="shared" si="2"/>
        <v>0</v>
      </c>
      <c r="G37" s="262"/>
      <c r="H37" s="2267"/>
      <c r="I37" s="335"/>
    </row>
    <row r="38" spans="1:9" s="23" customFormat="1" ht="30.75" customHeight="1" thickBot="1" x14ac:dyDescent="0.25">
      <c r="A38" s="2771" t="str">
        <f>OF!A82</f>
        <v>OF14</v>
      </c>
      <c r="B38" s="2588"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v>
      </c>
      <c r="H38" s="2266" t="s">
        <v>2878</v>
      </c>
      <c r="I38" s="384" t="s">
        <v>2879</v>
      </c>
    </row>
    <row r="39" spans="1:9" s="23" customFormat="1" x14ac:dyDescent="0.2">
      <c r="A39" s="2259"/>
      <c r="B39" s="2544"/>
      <c r="C39" s="150" t="str">
        <f>OF!C83</f>
        <v>&lt;100 m.</v>
      </c>
      <c r="D39" s="401">
        <f>OF!D83</f>
        <v>0</v>
      </c>
      <c r="E39" s="26">
        <v>0</v>
      </c>
      <c r="F39" s="93">
        <f t="shared" ref="F39:F44" si="3">D39*E39</f>
        <v>0</v>
      </c>
      <c r="G39" s="260"/>
      <c r="H39" s="2266"/>
      <c r="I39" s="359"/>
    </row>
    <row r="40" spans="1:9" s="23" customFormat="1" x14ac:dyDescent="0.2">
      <c r="A40" s="2259"/>
      <c r="B40" s="2544"/>
      <c r="C40" s="150" t="str">
        <f>OF!C84</f>
        <v>100 m - 1 km.</v>
      </c>
      <c r="D40" s="401">
        <f>OF!D84</f>
        <v>0</v>
      </c>
      <c r="E40" s="26">
        <v>1</v>
      </c>
      <c r="F40" s="93">
        <f t="shared" si="3"/>
        <v>0</v>
      </c>
      <c r="G40" s="261"/>
      <c r="H40" s="2266"/>
      <c r="I40" s="359"/>
    </row>
    <row r="41" spans="1:9" s="23" customFormat="1" x14ac:dyDescent="0.2">
      <c r="A41" s="2259"/>
      <c r="B41" s="2544"/>
      <c r="C41" s="150" t="str">
        <f>OF!C85</f>
        <v>1 -2 km.</v>
      </c>
      <c r="D41" s="401">
        <f>OF!D85</f>
        <v>0</v>
      </c>
      <c r="E41" s="25">
        <v>2</v>
      </c>
      <c r="F41" s="95">
        <f t="shared" si="3"/>
        <v>0</v>
      </c>
      <c r="G41" s="264"/>
      <c r="H41" s="2266"/>
      <c r="I41" s="359"/>
    </row>
    <row r="42" spans="1:9" s="23" customFormat="1" x14ac:dyDescent="0.2">
      <c r="A42" s="2259"/>
      <c r="B42" s="2544"/>
      <c r="C42" s="150" t="str">
        <f>OF!C86</f>
        <v>2-5 km.</v>
      </c>
      <c r="D42" s="401">
        <f>OF!D86</f>
        <v>0</v>
      </c>
      <c r="E42" s="25">
        <v>3</v>
      </c>
      <c r="F42" s="95">
        <f t="shared" si="3"/>
        <v>0</v>
      </c>
      <c r="G42" s="264"/>
      <c r="H42" s="2266"/>
      <c r="I42" s="359"/>
    </row>
    <row r="43" spans="1:9" s="23" customFormat="1" x14ac:dyDescent="0.2">
      <c r="A43" s="2259"/>
      <c r="B43" s="2544"/>
      <c r="C43" s="150" t="str">
        <f>OF!C87</f>
        <v>5-10 km.</v>
      </c>
      <c r="D43" s="401">
        <f>OF!D87</f>
        <v>0</v>
      </c>
      <c r="E43" s="25">
        <v>4</v>
      </c>
      <c r="F43" s="95">
        <f t="shared" si="3"/>
        <v>0</v>
      </c>
      <c r="G43" s="264"/>
      <c r="H43" s="2266"/>
      <c r="I43" s="359"/>
    </row>
    <row r="44" spans="1:9" s="23" customFormat="1" ht="13.5" thickBot="1" x14ac:dyDescent="0.25">
      <c r="A44" s="2259"/>
      <c r="B44" s="2589"/>
      <c r="C44" s="2" t="str">
        <f>OF!C88</f>
        <v>&gt;10 km.</v>
      </c>
      <c r="D44" s="479">
        <f>OF!D88</f>
        <v>0</v>
      </c>
      <c r="E44" s="25">
        <v>6</v>
      </c>
      <c r="F44" s="95">
        <f t="shared" si="3"/>
        <v>0</v>
      </c>
      <c r="G44" s="264"/>
      <c r="H44" s="2266"/>
      <c r="I44" s="335"/>
    </row>
    <row r="45" spans="1:9" s="23" customFormat="1" ht="13.5" thickBot="1" x14ac:dyDescent="0.25">
      <c r="A45" s="2605" t="str">
        <f>OF!A97</f>
        <v>OF16</v>
      </c>
      <c r="B45" s="2505" t="str">
        <f>OF!B97</f>
        <v>Upland Edge Contact [NR, RSB, Sens]</v>
      </c>
      <c r="C45" s="549" t="str">
        <f>OF!C97</f>
        <v>Select one:</v>
      </c>
      <c r="D45" s="801"/>
      <c r="E45" s="65"/>
      <c r="F45" s="91"/>
      <c r="G45" s="121">
        <f>MAX(F46:F50)/MAX(E46:E50)</f>
        <v>0</v>
      </c>
      <c r="H45" s="2271" t="s">
        <v>2880</v>
      </c>
      <c r="I45" s="384" t="s">
        <v>2881</v>
      </c>
    </row>
    <row r="46" spans="1:9" s="23" customFormat="1" ht="25.5" x14ac:dyDescent="0.2">
      <c r="A46" s="2259"/>
      <c r="B46" s="2506"/>
      <c r="C46" s="727" t="str">
        <f>OF!C98</f>
        <v>The AA has no upland edge (or upland is &lt;1% of perimeter). The AA is entirely surrounded by (&amp; contiguous with) other wetlands or water.</v>
      </c>
      <c r="D46" s="401">
        <f>OF!D98</f>
        <v>0</v>
      </c>
      <c r="E46" s="28">
        <v>0</v>
      </c>
      <c r="F46" s="93">
        <f>D46*E46</f>
        <v>0</v>
      </c>
      <c r="G46" s="260"/>
      <c r="H46" s="2266"/>
      <c r="I46" s="359"/>
    </row>
    <row r="47" spans="1:9" s="23" customFormat="1" ht="25.5" x14ac:dyDescent="0.2">
      <c r="A47" s="2259"/>
      <c r="B47" s="2506"/>
      <c r="C47" s="727" t="str">
        <f>OF!C99</f>
        <v>1-25% of the AA's perimeter abuts upland (including filled areas). The rest adjoins other wetlands or water that is mostly wider than the AA.</v>
      </c>
      <c r="D47" s="401">
        <f>OF!D99</f>
        <v>0</v>
      </c>
      <c r="E47" s="28">
        <v>0</v>
      </c>
      <c r="F47" s="93">
        <f>D47*E47</f>
        <v>0</v>
      </c>
      <c r="G47" s="260"/>
      <c r="H47" s="2266"/>
      <c r="I47" s="359"/>
    </row>
    <row r="48" spans="1:9" s="23" customFormat="1" ht="25.5" x14ac:dyDescent="0.2">
      <c r="A48" s="2259"/>
      <c r="B48" s="2506"/>
      <c r="C48" s="727" t="str">
        <f>OF!C100</f>
        <v>25-50% of the AA's perimeter abuts upland. The rest adjoins other wetlands or water that is mostly wider than the AA.</v>
      </c>
      <c r="D48" s="401">
        <f>OF!D100</f>
        <v>0</v>
      </c>
      <c r="E48" s="28">
        <v>0</v>
      </c>
      <c r="F48" s="93">
        <f>D48*E48</f>
        <v>0</v>
      </c>
      <c r="G48" s="260"/>
      <c r="H48" s="2266"/>
      <c r="I48" s="359"/>
    </row>
    <row r="49" spans="1:9" s="23" customFormat="1" ht="25.5" x14ac:dyDescent="0.2">
      <c r="A49" s="2259"/>
      <c r="B49" s="2506"/>
      <c r="C49" s="727" t="str">
        <f>OF!C101</f>
        <v>50-75% of the AA's perimeter abuts upland. The rest adjoins other wetlands or water that is mostly wider than the AA.</v>
      </c>
      <c r="D49" s="401">
        <f>OF!D101</f>
        <v>0</v>
      </c>
      <c r="E49" s="28">
        <v>2</v>
      </c>
      <c r="F49" s="93">
        <f>D49*E49</f>
        <v>0</v>
      </c>
      <c r="G49" s="261"/>
      <c r="H49" s="2266"/>
      <c r="I49" s="359"/>
    </row>
    <row r="50" spans="1:9" s="23" customFormat="1" ht="39" thickBot="1" x14ac:dyDescent="0.25">
      <c r="A50" s="2260"/>
      <c r="B50" s="250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267"/>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v>
      </c>
      <c r="H51" s="289" t="s">
        <v>2882</v>
      </c>
      <c r="I51" s="265" t="s">
        <v>2883</v>
      </c>
    </row>
    <row r="52" spans="1:9" s="23" customFormat="1" ht="96.75" customHeight="1" thickBot="1" x14ac:dyDescent="0.25">
      <c r="A52" s="2768" t="str">
        <f>OF!A121</f>
        <v>OF22</v>
      </c>
      <c r="B52" s="2543"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v>
      </c>
      <c r="H52" s="2271" t="s">
        <v>2884</v>
      </c>
      <c r="I52" s="359" t="s">
        <v>2885</v>
      </c>
    </row>
    <row r="53" spans="1:9" s="24" customFormat="1" ht="25.5" x14ac:dyDescent="0.2">
      <c r="A53" s="2769"/>
      <c r="B53" s="2544"/>
      <c r="C53" s="150" t="str">
        <f>OF!C122</f>
        <v>&lt;0.01, or catchment size unknown due to stormwater pipes that collect water from an indeterminate area.</v>
      </c>
      <c r="D53" s="401">
        <f>OF!D122</f>
        <v>0</v>
      </c>
      <c r="E53" s="26">
        <v>0</v>
      </c>
      <c r="F53" s="93">
        <f>D53*E53</f>
        <v>0</v>
      </c>
      <c r="G53" s="260"/>
      <c r="H53" s="2266"/>
      <c r="I53" s="359"/>
    </row>
    <row r="54" spans="1:9" s="24" customFormat="1" x14ac:dyDescent="0.2">
      <c r="A54" s="2769"/>
      <c r="B54" s="2544"/>
      <c r="C54" s="281" t="str">
        <f>OF!C123</f>
        <v>0.01 to 0.1.</v>
      </c>
      <c r="D54" s="558">
        <f>OF!D123</f>
        <v>0</v>
      </c>
      <c r="E54" s="26">
        <v>1</v>
      </c>
      <c r="F54" s="93">
        <f>D54*E54</f>
        <v>0</v>
      </c>
      <c r="G54" s="261"/>
      <c r="H54" s="2266"/>
      <c r="I54" s="359"/>
    </row>
    <row r="55" spans="1:9" s="24" customFormat="1" x14ac:dyDescent="0.2">
      <c r="A55" s="2769"/>
      <c r="B55" s="2544"/>
      <c r="C55" s="281" t="str">
        <f>OF!C124</f>
        <v>0.1 to 1.</v>
      </c>
      <c r="D55" s="558">
        <f>OF!D124</f>
        <v>0</v>
      </c>
      <c r="E55" s="26">
        <v>2</v>
      </c>
      <c r="F55" s="93">
        <f>D55*E55</f>
        <v>0</v>
      </c>
      <c r="G55" s="261"/>
      <c r="H55" s="2266"/>
      <c r="I55" s="359"/>
    </row>
    <row r="56" spans="1:9" s="24" customFormat="1" ht="26.25" thickBot="1" x14ac:dyDescent="0.25">
      <c r="A56" s="2770"/>
      <c r="B56" s="2545"/>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267"/>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58" t="str">
        <f>OF!A152</f>
        <v>OF29</v>
      </c>
      <c r="B58" s="250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0</v>
      </c>
      <c r="H58" s="2271" t="s">
        <v>2887</v>
      </c>
      <c r="I58" s="384" t="s">
        <v>2888</v>
      </c>
    </row>
    <row r="59" spans="1:9" s="23" customFormat="1" ht="51" x14ac:dyDescent="0.2">
      <c r="A59" s="2259"/>
      <c r="B59" s="250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66"/>
      <c r="I59" s="359"/>
    </row>
    <row r="60" spans="1:9" s="23" customFormat="1" ht="25.5" x14ac:dyDescent="0.2">
      <c r="A60" s="2259"/>
      <c r="B60" s="2506"/>
      <c r="C60" s="281" t="str">
        <f>OF!C155</f>
        <v>Presence of one or more of the amphibian or reptile species (AM) of conservation concern as listed in the Wildlife_Rare worksheet</v>
      </c>
      <c r="D60" s="558">
        <f>OF!D155</f>
        <v>0</v>
      </c>
      <c r="E60" s="26">
        <v>1</v>
      </c>
      <c r="F60" s="93">
        <f>D60*E60</f>
        <v>0</v>
      </c>
      <c r="G60" s="192"/>
      <c r="H60" s="2266"/>
      <c r="I60" s="359"/>
    </row>
    <row r="61" spans="1:9" s="23" customFormat="1" ht="38.25" x14ac:dyDescent="0.2">
      <c r="A61" s="2259"/>
      <c r="B61" s="250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266"/>
      <c r="I61" s="359"/>
    </row>
    <row r="62" spans="1:9" s="23" customFormat="1" ht="13.5" thickBot="1" x14ac:dyDescent="0.25">
      <c r="A62" s="2260"/>
      <c r="B62" s="2507"/>
      <c r="C62" s="253" t="str">
        <f>OF!C158</f>
        <v>None of the above, or no data.</v>
      </c>
      <c r="D62" s="794">
        <f>OF!D158</f>
        <v>0</v>
      </c>
      <c r="E62" s="67"/>
      <c r="F62" s="97"/>
      <c r="G62" s="193"/>
      <c r="H62" s="2267"/>
      <c r="I62" s="335"/>
    </row>
    <row r="63" spans="1:9" s="23" customFormat="1" ht="26.25" thickBot="1" x14ac:dyDescent="0.25">
      <c r="A63" s="2361" t="str">
        <f>F!A5</f>
        <v>F1</v>
      </c>
      <c r="B63" s="2508" t="str">
        <f>F!B5</f>
        <v>Vegetation, Water, Soil [SFTS, NR, CSP, CC, APP, FA, FR, AM, WBF, WBN, KMH, Sens]</v>
      </c>
      <c r="C63" s="253" t="str">
        <f>F!C5</f>
        <v>Follow the key below and mark the ONE row that best describes MOST of the vegetated part of the AA:</v>
      </c>
      <c r="D63" s="802"/>
      <c r="E63" s="99"/>
      <c r="F63" s="90"/>
      <c r="G63" s="554">
        <f>MAX(F64:F69)/MAX(E64:E69)</f>
        <v>0</v>
      </c>
      <c r="H63" s="2266" t="s">
        <v>8966</v>
      </c>
      <c r="I63" s="384" t="s">
        <v>2889</v>
      </c>
    </row>
    <row r="64" spans="1:9" ht="63.75" x14ac:dyDescent="0.2">
      <c r="A64" s="2361"/>
      <c r="B64" s="250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266"/>
      <c r="I64" s="359"/>
    </row>
    <row r="65" spans="1:9" ht="76.5" x14ac:dyDescent="0.2">
      <c r="A65" s="2361"/>
      <c r="B65" s="250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266"/>
      <c r="I65" s="359"/>
    </row>
    <row r="66" spans="1:9" ht="51" x14ac:dyDescent="0.2">
      <c r="A66" s="2361"/>
      <c r="B66" s="250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266"/>
      <c r="I66" s="359"/>
    </row>
    <row r="67" spans="1:9" ht="38.25" x14ac:dyDescent="0.2">
      <c r="A67" s="2361"/>
      <c r="B67" s="250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266"/>
      <c r="I67" s="359"/>
    </row>
    <row r="68" spans="1:9" ht="38.25" x14ac:dyDescent="0.2">
      <c r="A68" s="2361"/>
      <c r="B68" s="250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266"/>
      <c r="I68" s="359"/>
    </row>
    <row r="69" spans="1:9" s="23" customFormat="1" ht="51.75" thickBot="1" x14ac:dyDescent="0.25">
      <c r="A69" s="2361"/>
      <c r="B69" s="2509"/>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267"/>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48" t="str">
        <f>F!A28</f>
        <v>F4</v>
      </c>
      <c r="B71" s="2588"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271" t="s">
        <v>2892</v>
      </c>
      <c r="I71" s="384" t="s">
        <v>2893</v>
      </c>
    </row>
    <row r="72" spans="1:9" s="23" customFormat="1" ht="25.5" x14ac:dyDescent="0.2">
      <c r="A72" s="2348"/>
      <c r="B72" s="2544"/>
      <c r="C72" s="281" t="str">
        <f>F!C29</f>
        <v>Those 2 genera together comprise &gt; 80% of woody cover shorter than 5 ft. Low woody cover is monotypic or nearly so.</v>
      </c>
      <c r="D72" s="558">
        <f>F!D29</f>
        <v>0</v>
      </c>
      <c r="E72" s="76">
        <v>0</v>
      </c>
      <c r="F72" s="93">
        <f>D72*E72</f>
        <v>0</v>
      </c>
      <c r="G72" s="260"/>
      <c r="H72" s="2266"/>
      <c r="I72" s="359"/>
    </row>
    <row r="73" spans="1:9" s="23" customFormat="1" x14ac:dyDescent="0.2">
      <c r="A73" s="2348"/>
      <c r="B73" s="2544"/>
      <c r="C73" s="281" t="str">
        <f>F!C30</f>
        <v xml:space="preserve">Those 2 genera together comprise 50-80% of low woody cover.  </v>
      </c>
      <c r="D73" s="558">
        <f>F!D30</f>
        <v>0</v>
      </c>
      <c r="E73" s="76">
        <v>1</v>
      </c>
      <c r="F73" s="93">
        <f>D73*E73</f>
        <v>0</v>
      </c>
      <c r="G73" s="555"/>
      <c r="H73" s="2266"/>
      <c r="I73" s="359"/>
    </row>
    <row r="74" spans="1:9" s="23" customFormat="1" ht="26.25" thickBot="1" x14ac:dyDescent="0.25">
      <c r="A74" s="2348"/>
      <c r="B74" s="2589"/>
      <c r="C74" s="151" t="str">
        <f>F!C31</f>
        <v>No 2 genera together comprise &gt; 50% of low woody cover.  Several low woody genera are significantly present.</v>
      </c>
      <c r="D74" s="557">
        <f>F!D31</f>
        <v>0</v>
      </c>
      <c r="E74" s="79">
        <v>3</v>
      </c>
      <c r="F74" s="95">
        <f>D74*E74</f>
        <v>0</v>
      </c>
      <c r="G74" s="264"/>
      <c r="H74" s="2267"/>
      <c r="I74" s="335"/>
    </row>
    <row r="75" spans="1:9" s="23" customFormat="1" ht="39" thickBot="1" x14ac:dyDescent="0.25">
      <c r="A75" s="2347" t="str">
        <f>F!A33</f>
        <v>F5</v>
      </c>
      <c r="B75" s="2543"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271" t="s">
        <v>2894</v>
      </c>
      <c r="I75" s="384" t="s">
        <v>2895</v>
      </c>
    </row>
    <row r="76" spans="1:9" s="23" customFormat="1" x14ac:dyDescent="0.2">
      <c r="A76" s="2348"/>
      <c r="B76" s="2544"/>
      <c r="C76" s="150" t="str">
        <f>F!C34</f>
        <v>coniferous, 1-9 cm diameter and &gt;1 m tall.</v>
      </c>
      <c r="D76" s="401">
        <f>F!D34</f>
        <v>0</v>
      </c>
      <c r="E76" s="26">
        <v>0</v>
      </c>
      <c r="F76" s="93">
        <f t="shared" ref="F76:F83" si="4">D76*E76</f>
        <v>0</v>
      </c>
      <c r="G76" s="260"/>
      <c r="H76" s="2266"/>
      <c r="I76" s="359"/>
    </row>
    <row r="77" spans="1:9" s="23" customFormat="1" x14ac:dyDescent="0.2">
      <c r="A77" s="2348"/>
      <c r="B77" s="2544"/>
      <c r="C77" s="281" t="str">
        <f>F!C35</f>
        <v>broad-leaved deciduous 1-9 cm diameter and &gt;1 m tall.</v>
      </c>
      <c r="D77" s="558">
        <f>F!D35</f>
        <v>0</v>
      </c>
      <c r="E77" s="26">
        <v>0</v>
      </c>
      <c r="F77" s="93">
        <f t="shared" si="4"/>
        <v>0</v>
      </c>
      <c r="G77" s="261"/>
      <c r="H77" s="2266"/>
      <c r="I77" s="359"/>
    </row>
    <row r="78" spans="1:9" s="23" customFormat="1" x14ac:dyDescent="0.2">
      <c r="A78" s="2348"/>
      <c r="B78" s="2544"/>
      <c r="C78" s="281" t="str">
        <f>F!C36</f>
        <v>coniferous, 10-19 cm diameter.</v>
      </c>
      <c r="D78" s="558">
        <f>F!D36</f>
        <v>0</v>
      </c>
      <c r="E78" s="26">
        <v>1</v>
      </c>
      <c r="F78" s="93">
        <f t="shared" si="4"/>
        <v>0</v>
      </c>
      <c r="G78" s="261"/>
      <c r="H78" s="2266"/>
      <c r="I78" s="359"/>
    </row>
    <row r="79" spans="1:9" s="23" customFormat="1" x14ac:dyDescent="0.2">
      <c r="A79" s="2348"/>
      <c r="B79" s="2544"/>
      <c r="C79" s="281" t="str">
        <f>F!C37</f>
        <v>broad-leaved deciduous 10-19 cm diameter.</v>
      </c>
      <c r="D79" s="558">
        <f>F!D37</f>
        <v>0</v>
      </c>
      <c r="E79" s="26">
        <v>1</v>
      </c>
      <c r="F79" s="93">
        <f t="shared" si="4"/>
        <v>0</v>
      </c>
      <c r="G79" s="261"/>
      <c r="H79" s="2266"/>
      <c r="I79" s="359"/>
    </row>
    <row r="80" spans="1:9" s="23" customFormat="1" x14ac:dyDescent="0.2">
      <c r="A80" s="2348"/>
      <c r="B80" s="2544"/>
      <c r="C80" s="281" t="str">
        <f>F!C38</f>
        <v>coniferous, 20-40 cm diameter.</v>
      </c>
      <c r="D80" s="558">
        <f>F!D38</f>
        <v>0</v>
      </c>
      <c r="E80" s="26">
        <v>2</v>
      </c>
      <c r="F80" s="93">
        <f t="shared" si="4"/>
        <v>0</v>
      </c>
      <c r="G80" s="261"/>
      <c r="H80" s="2266"/>
      <c r="I80" s="359"/>
    </row>
    <row r="81" spans="1:9" s="23" customFormat="1" x14ac:dyDescent="0.2">
      <c r="A81" s="2348"/>
      <c r="B81" s="2544"/>
      <c r="C81" s="281" t="str">
        <f>F!C39</f>
        <v>broad-leaved deciduous 20-40 cm diameter.</v>
      </c>
      <c r="D81" s="558">
        <f>F!D39</f>
        <v>0</v>
      </c>
      <c r="E81" s="26">
        <v>2</v>
      </c>
      <c r="F81" s="93">
        <f t="shared" si="4"/>
        <v>0</v>
      </c>
      <c r="G81" s="261"/>
      <c r="H81" s="2266"/>
      <c r="I81" s="359"/>
    </row>
    <row r="82" spans="1:9" s="23" customFormat="1" x14ac:dyDescent="0.2">
      <c r="A82" s="2348"/>
      <c r="B82" s="2544"/>
      <c r="C82" s="281" t="str">
        <f>F!C40</f>
        <v>coniferous, &gt;40 cm diameter.</v>
      </c>
      <c r="D82" s="558">
        <f>F!D40</f>
        <v>0</v>
      </c>
      <c r="E82" s="26">
        <v>3</v>
      </c>
      <c r="F82" s="93">
        <f t="shared" si="4"/>
        <v>0</v>
      </c>
      <c r="G82" s="261"/>
      <c r="H82" s="2266"/>
      <c r="I82" s="359"/>
    </row>
    <row r="83" spans="1:9" s="23" customFormat="1" ht="13.5" thickBot="1" x14ac:dyDescent="0.25">
      <c r="A83" s="2349"/>
      <c r="B83" s="2545"/>
      <c r="C83" s="249" t="str">
        <f>F!C41</f>
        <v>broad-leaved deciduous &gt;40 cm diameter.</v>
      </c>
      <c r="D83" s="794">
        <f>F!D41</f>
        <v>0</v>
      </c>
      <c r="E83" s="67">
        <v>3</v>
      </c>
      <c r="F83" s="97">
        <f t="shared" si="4"/>
        <v>0</v>
      </c>
      <c r="G83" s="262"/>
      <c r="H83" s="2267"/>
      <c r="I83" s="335"/>
    </row>
    <row r="84" spans="1:9" s="23" customFormat="1" ht="13.5" thickBot="1" x14ac:dyDescent="0.25">
      <c r="A84" s="2348" t="str">
        <f>F!A42</f>
        <v>F6</v>
      </c>
      <c r="B84" s="2588" t="str">
        <f>F!B42</f>
        <v>Height Class Interspersion [NR, AM, RSB, KMH, PH, Sens]</v>
      </c>
      <c r="C84" s="253" t="str">
        <f>F!C42</f>
        <v>Follow the key below and mark the ONE row that best describes MOST of the AA:</v>
      </c>
      <c r="D84" s="802"/>
      <c r="E84" s="75"/>
      <c r="F84" s="99"/>
      <c r="G84" s="554">
        <f>MAX(F86:F90)/MAX(E86:E90)</f>
        <v>0</v>
      </c>
      <c r="H84" s="2271" t="s">
        <v>2896</v>
      </c>
      <c r="I84" s="384" t="s">
        <v>2897</v>
      </c>
    </row>
    <row r="85" spans="1:9" s="23" customFormat="1" ht="39" thickBot="1" x14ac:dyDescent="0.25">
      <c r="A85" s="2348"/>
      <c r="B85" s="2544"/>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66"/>
      <c r="I85" s="359"/>
    </row>
    <row r="86" spans="1:9" s="23" customFormat="1" x14ac:dyDescent="0.2">
      <c r="A86" s="2348"/>
      <c r="B86" s="2544"/>
      <c r="C86" s="150" t="str">
        <f>F!C44</f>
        <v>A1. The two height classes are mostly scattered and intermixed throughout the AA.</v>
      </c>
      <c r="D86" s="401">
        <f>F!D44</f>
        <v>0</v>
      </c>
      <c r="E86" s="75">
        <v>3</v>
      </c>
      <c r="F86" s="93">
        <f>D86*E86</f>
        <v>0</v>
      </c>
      <c r="G86" s="261"/>
      <c r="H86" s="2266"/>
      <c r="I86" s="359"/>
    </row>
    <row r="87" spans="1:9" s="23" customFormat="1" ht="25.5" x14ac:dyDescent="0.2">
      <c r="A87" s="2348"/>
      <c r="B87" s="2544"/>
      <c r="C87" s="150" t="str">
        <f>F!C45</f>
        <v>A2. Not A1.  The two height classes are mostly in separate zones or bands, or in proportionately large clumps.</v>
      </c>
      <c r="D87" s="401">
        <f>F!D45</f>
        <v>0</v>
      </c>
      <c r="E87" s="76">
        <v>2</v>
      </c>
      <c r="F87" s="93">
        <f>D87*E87</f>
        <v>0</v>
      </c>
      <c r="G87" s="261"/>
      <c r="H87" s="2266"/>
      <c r="I87" s="359"/>
    </row>
    <row r="88" spans="1:9" s="23" customFormat="1" ht="38.25" x14ac:dyDescent="0.2">
      <c r="A88" s="2348"/>
      <c r="B88" s="2544"/>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66"/>
      <c r="I88" s="359"/>
    </row>
    <row r="89" spans="1:9" s="23" customFormat="1" ht="25.5" x14ac:dyDescent="0.2">
      <c r="A89" s="2348"/>
      <c r="B89" s="2544"/>
      <c r="C89" s="150" t="str">
        <f>F!C47</f>
        <v>B1. The less prevalent height class is mostly scattered and intermixed within the prevalent one.</v>
      </c>
      <c r="D89" s="401">
        <f>F!D47</f>
        <v>0</v>
      </c>
      <c r="E89" s="76">
        <v>1</v>
      </c>
      <c r="F89" s="93">
        <f>D89*E89</f>
        <v>0</v>
      </c>
      <c r="G89" s="261"/>
      <c r="H89" s="2266"/>
      <c r="I89" s="359"/>
    </row>
    <row r="90" spans="1:9" s="23" customFormat="1" ht="26.25" thickBot="1" x14ac:dyDescent="0.25">
      <c r="A90" s="2348"/>
      <c r="B90" s="2589"/>
      <c r="C90" s="2" t="str">
        <f>F!C48</f>
        <v>B2. Not B1.  The less prevalent height class is mostly located apart from the prevalent one, in separate zones or clumps, or is completely absent.</v>
      </c>
      <c r="D90" s="479">
        <f>F!D48</f>
        <v>0</v>
      </c>
      <c r="E90" s="79">
        <v>0</v>
      </c>
      <c r="F90" s="95">
        <f>D90*E90</f>
        <v>0</v>
      </c>
      <c r="G90" s="264"/>
      <c r="H90" s="2267"/>
      <c r="I90" s="335"/>
    </row>
    <row r="91" spans="1:9" s="23" customFormat="1" ht="39" thickBot="1" x14ac:dyDescent="0.25">
      <c r="A91" s="2360" t="str">
        <f>F!A69</f>
        <v>F10</v>
      </c>
      <c r="B91" s="250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266" t="s">
        <v>2898</v>
      </c>
      <c r="I91" s="384" t="s">
        <v>2899</v>
      </c>
    </row>
    <row r="92" spans="1:9" s="23" customFormat="1" ht="25.5" x14ac:dyDescent="0.2">
      <c r="A92" s="2361"/>
      <c r="B92" s="2506"/>
      <c r="C92" s="150" t="str">
        <f>F!C70</f>
        <v>those species together comprise &gt; 50% of the areal cover of herbaceous plants at any time during the year.</v>
      </c>
      <c r="D92" s="401">
        <f>F!D70</f>
        <v>0</v>
      </c>
      <c r="E92" s="26">
        <v>0</v>
      </c>
      <c r="F92" s="93">
        <f>D92*E92</f>
        <v>0</v>
      </c>
      <c r="G92" s="261"/>
      <c r="H92" s="2266"/>
      <c r="I92" s="359"/>
    </row>
    <row r="93" spans="1:9" s="23" customFormat="1" ht="26.25" thickBot="1" x14ac:dyDescent="0.25">
      <c r="A93" s="2362"/>
      <c r="B93" s="2507"/>
      <c r="C93" s="249" t="str">
        <f>F!C71</f>
        <v>those species together do not comprise &gt; 50% of the areal cover of herbaceous plants at any time during the year.</v>
      </c>
      <c r="D93" s="794">
        <f>F!D71</f>
        <v>0</v>
      </c>
      <c r="E93" s="67">
        <v>1</v>
      </c>
      <c r="F93" s="97">
        <f>D93*E93</f>
        <v>0</v>
      </c>
      <c r="G93" s="262"/>
      <c r="H93" s="2267"/>
      <c r="I93" s="335"/>
    </row>
    <row r="94" spans="1:9" s="23" customFormat="1" ht="26.25" thickBot="1" x14ac:dyDescent="0.25">
      <c r="A94" s="2348" t="str">
        <f>F!A72</f>
        <v>F11</v>
      </c>
      <c r="B94" s="2588" t="str">
        <f>F!B72</f>
        <v>Invasive Plant Cover [PH, Sens]</v>
      </c>
      <c r="C94" s="253" t="str">
        <f>F!C72</f>
        <v>How extensive is the cover of invasive plant species in the AA?  For species, see Plants_invasive worksheet (tab).</v>
      </c>
      <c r="D94" s="802"/>
      <c r="E94" s="89"/>
      <c r="F94" s="174"/>
      <c r="G94" s="554">
        <f>(MAX(F95:F99))/MAX(E95:E99)</f>
        <v>0</v>
      </c>
      <c r="H94" s="2271" t="s">
        <v>2900</v>
      </c>
      <c r="I94" s="384" t="s">
        <v>2901</v>
      </c>
    </row>
    <row r="95" spans="1:9" s="23" customFormat="1" ht="25.5" x14ac:dyDescent="0.2">
      <c r="A95" s="2348"/>
      <c r="B95" s="2544"/>
      <c r="C95" s="150" t="str">
        <f>F!C73</f>
        <v>invasive species appear to be absent in the AA, or are present only in trace amount (a few individuals).</v>
      </c>
      <c r="D95" s="401">
        <f>F!D73</f>
        <v>0</v>
      </c>
      <c r="E95" s="76">
        <v>4</v>
      </c>
      <c r="F95" s="93">
        <f>D95*E95</f>
        <v>0</v>
      </c>
      <c r="G95" s="260"/>
      <c r="H95" s="2266"/>
      <c r="I95" s="359"/>
    </row>
    <row r="96" spans="1:9" s="23" customFormat="1" ht="25.5" x14ac:dyDescent="0.2">
      <c r="A96" s="2348"/>
      <c r="B96" s="2544"/>
      <c r="C96" s="281" t="str">
        <f>F!C74</f>
        <v>invasive species are present in more than trace amounts, but comprise &lt;5% of herbaceous cover (or woody cover, if the invasives are woody).</v>
      </c>
      <c r="D96" s="558">
        <f>F!D74</f>
        <v>0</v>
      </c>
      <c r="E96" s="75">
        <v>3</v>
      </c>
      <c r="F96" s="99">
        <f>D96*E96</f>
        <v>0</v>
      </c>
      <c r="G96" s="260"/>
      <c r="H96" s="2266"/>
      <c r="I96" s="359"/>
    </row>
    <row r="97" spans="1:9" ht="25.5" x14ac:dyDescent="0.2">
      <c r="A97" s="2348"/>
      <c r="B97" s="2544"/>
      <c r="C97" s="281" t="str">
        <f>F!C75</f>
        <v>invasive species comprise 5-20% of the herb cover (or woody cover, if the invasives are woody).</v>
      </c>
      <c r="D97" s="558">
        <f>F!D75</f>
        <v>0</v>
      </c>
      <c r="E97" s="28">
        <v>2</v>
      </c>
      <c r="F97" s="99">
        <f>D97*E97</f>
        <v>0</v>
      </c>
      <c r="G97" s="260"/>
      <c r="H97" s="2266"/>
      <c r="I97" s="359"/>
    </row>
    <row r="98" spans="1:9" ht="25.5" x14ac:dyDescent="0.2">
      <c r="A98" s="2348"/>
      <c r="B98" s="2544"/>
      <c r="C98" s="281" t="str">
        <f>F!C76</f>
        <v>invasive species comprise 20-50% of the herb cover  (or woody cover, if the invasives are woody).</v>
      </c>
      <c r="D98" s="558">
        <f>F!D76</f>
        <v>0</v>
      </c>
      <c r="E98" s="26">
        <v>1</v>
      </c>
      <c r="F98" s="93">
        <f>D98*E98</f>
        <v>0</v>
      </c>
      <c r="G98" s="261"/>
      <c r="H98" s="2266"/>
      <c r="I98" s="359"/>
    </row>
    <row r="99" spans="1:9" ht="26.25" thickBot="1" x14ac:dyDescent="0.25">
      <c r="A99" s="2348"/>
      <c r="B99" s="2589"/>
      <c r="C99" s="151" t="str">
        <f>F!C77</f>
        <v>invasive species comprise &gt;50% of the herb cover  (or woody cover, if the invasives are woody).</v>
      </c>
      <c r="D99" s="557">
        <f>F!D77</f>
        <v>0</v>
      </c>
      <c r="E99" s="25">
        <v>0</v>
      </c>
      <c r="F99" s="95">
        <f>D99*E99</f>
        <v>0</v>
      </c>
      <c r="G99" s="264"/>
      <c r="H99" s="2267"/>
      <c r="I99" s="335"/>
    </row>
    <row r="100" spans="1:9" s="23" customFormat="1" ht="26.25" thickBot="1" x14ac:dyDescent="0.25">
      <c r="A100" s="2360" t="str">
        <f>F!A84</f>
        <v>F13</v>
      </c>
      <c r="B100" s="250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v>
      </c>
      <c r="H100" s="2271" t="s">
        <v>2902</v>
      </c>
      <c r="I100" s="384" t="s">
        <v>2903</v>
      </c>
    </row>
    <row r="101" spans="1:9" s="23" customFormat="1" x14ac:dyDescent="0.2">
      <c r="A101" s="2361"/>
      <c r="B101" s="2506"/>
      <c r="C101" s="150" t="str">
        <f>F!C85</f>
        <v>&lt;1% or none.</v>
      </c>
      <c r="D101" s="401">
        <f>F!D85</f>
        <v>0</v>
      </c>
      <c r="E101" s="26">
        <v>0</v>
      </c>
      <c r="F101" s="93">
        <f>D101*E101</f>
        <v>0</v>
      </c>
      <c r="G101" s="260"/>
      <c r="H101" s="2266"/>
      <c r="I101" s="359"/>
    </row>
    <row r="102" spans="1:9" s="23" customFormat="1" x14ac:dyDescent="0.2">
      <c r="A102" s="2361"/>
      <c r="B102" s="2506"/>
      <c r="C102" s="281" t="str">
        <f>F!C86</f>
        <v>1-25% of the vegetated cover, in the AA or along its water edge (whichever has more).</v>
      </c>
      <c r="D102" s="558">
        <f>F!D86</f>
        <v>0</v>
      </c>
      <c r="E102" s="26">
        <v>2</v>
      </c>
      <c r="F102" s="93">
        <f>D102*E102</f>
        <v>0</v>
      </c>
      <c r="G102" s="261"/>
      <c r="H102" s="2266"/>
      <c r="I102" s="359"/>
    </row>
    <row r="103" spans="1:9" s="23" customFormat="1" x14ac:dyDescent="0.2">
      <c r="A103" s="2361"/>
      <c r="B103" s="2506"/>
      <c r="C103" s="281" t="str">
        <f>F!C87</f>
        <v>25-50% of the vegetated cover, in the AA or along its water edge (whichever has more).</v>
      </c>
      <c r="D103" s="558">
        <f>F!D87</f>
        <v>0</v>
      </c>
      <c r="E103" s="26">
        <v>3</v>
      </c>
      <c r="F103" s="93">
        <f>D103*E103</f>
        <v>0</v>
      </c>
      <c r="G103" s="261"/>
      <c r="H103" s="2266"/>
      <c r="I103" s="359"/>
    </row>
    <row r="104" spans="1:9" s="23" customFormat="1" x14ac:dyDescent="0.2">
      <c r="A104" s="2361"/>
      <c r="B104" s="2506"/>
      <c r="C104" s="281" t="str">
        <f>F!C88</f>
        <v>50-75% of the vegetated cover, in the AA or along its water edge (whichever has more).</v>
      </c>
      <c r="D104" s="558">
        <f>F!D88</f>
        <v>0</v>
      </c>
      <c r="E104" s="26">
        <v>4</v>
      </c>
      <c r="F104" s="93">
        <f>D104*E104</f>
        <v>0</v>
      </c>
      <c r="G104" s="261"/>
      <c r="H104" s="2266"/>
      <c r="I104" s="359"/>
    </row>
    <row r="105" spans="1:9" s="23" customFormat="1" ht="13.5" thickBot="1" x14ac:dyDescent="0.25">
      <c r="A105" s="2362"/>
      <c r="B105" s="2507"/>
      <c r="C105" s="249" t="str">
        <f>F!C89</f>
        <v>&gt;75% of the vegetated cover, in the AA or along its water edge (whichever has more).</v>
      </c>
      <c r="D105" s="794">
        <f>F!D89</f>
        <v>0</v>
      </c>
      <c r="E105" s="67">
        <v>5</v>
      </c>
      <c r="F105" s="97">
        <f>D105*E105</f>
        <v>0</v>
      </c>
      <c r="G105" s="262"/>
      <c r="H105" s="2267"/>
      <c r="I105" s="335"/>
    </row>
    <row r="106" spans="1:9" s="23" customFormat="1" ht="39" thickBot="1" x14ac:dyDescent="0.25">
      <c r="A106" s="2348" t="str">
        <f>F!A107</f>
        <v>F17</v>
      </c>
      <c r="B106" s="2588"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v>
      </c>
      <c r="H106" s="2271" t="s">
        <v>2904</v>
      </c>
      <c r="I106" s="384" t="s">
        <v>2905</v>
      </c>
    </row>
    <row r="107" spans="1:9" s="23" customFormat="1" ht="38.25" x14ac:dyDescent="0.2">
      <c r="A107" s="2348"/>
      <c r="B107" s="2544"/>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266"/>
      <c r="I107" s="359"/>
    </row>
    <row r="108" spans="1:9" s="23" customFormat="1" ht="25.5" x14ac:dyDescent="0.2">
      <c r="A108" s="2348"/>
      <c r="B108" s="2544"/>
      <c r="C108" s="281" t="str">
        <f>F!C109</f>
        <v>Slightly bare ground (5-20% bare between plants) is visible in places, and those areas comprise less than 5% of the unflooded parts of the AA.</v>
      </c>
      <c r="D108" s="558">
        <f>F!D109</f>
        <v>0</v>
      </c>
      <c r="E108" s="26">
        <v>1</v>
      </c>
      <c r="F108" s="93">
        <f>D108*E108</f>
        <v>0</v>
      </c>
      <c r="G108" s="261"/>
      <c r="H108" s="2266"/>
      <c r="I108" s="359"/>
    </row>
    <row r="109" spans="1:9" s="23" customFormat="1" ht="25.5" x14ac:dyDescent="0.2">
      <c r="A109" s="2348"/>
      <c r="B109" s="2544"/>
      <c r="C109" s="281" t="str">
        <f>F!C110</f>
        <v xml:space="preserve">Slightly bare ground (5-20% bare between plants) comprises more than 5% of the unflooded parts of the AA, </v>
      </c>
      <c r="D109" s="558">
        <f>F!D110</f>
        <v>0</v>
      </c>
      <c r="E109" s="26">
        <v>2</v>
      </c>
      <c r="F109" s="93">
        <f>D109*E109</f>
        <v>0</v>
      </c>
      <c r="G109" s="261"/>
      <c r="H109" s="2266"/>
      <c r="I109" s="359"/>
    </row>
    <row r="110" spans="1:9" s="23" customFormat="1" ht="25.5" x14ac:dyDescent="0.2">
      <c r="A110" s="2348"/>
      <c r="B110" s="2544"/>
      <c r="C110" s="281" t="str">
        <f>F!C111</f>
        <v>Very bare ground (20-50% bare between plants) comprises more than 5% of the unflooded parts of the AA. </v>
      </c>
      <c r="D110" s="558">
        <f>F!D111</f>
        <v>0</v>
      </c>
      <c r="E110" s="25">
        <v>3</v>
      </c>
      <c r="F110" s="95">
        <f>D110*E110</f>
        <v>0</v>
      </c>
      <c r="G110" s="264"/>
      <c r="H110" s="2266"/>
      <c r="I110" s="359"/>
    </row>
    <row r="111" spans="1:9" s="23" customFormat="1" ht="26.25" thickBot="1" x14ac:dyDescent="0.25">
      <c r="A111" s="2348"/>
      <c r="B111" s="2589"/>
      <c r="C111" s="151" t="str">
        <f>F!C112</f>
        <v>Not applicable. Surface water (either open or obscured by emergent plants) covers all of the AA all the time.</v>
      </c>
      <c r="D111" s="557">
        <f>F!D112</f>
        <v>0</v>
      </c>
      <c r="E111" s="25"/>
      <c r="F111" s="95"/>
      <c r="G111" s="264"/>
      <c r="H111" s="2266"/>
      <c r="I111" s="335"/>
    </row>
    <row r="112" spans="1:9" s="23" customFormat="1" ht="26.25" thickBot="1" x14ac:dyDescent="0.25">
      <c r="A112" s="2347" t="str">
        <f>F!A128</f>
        <v>F21</v>
      </c>
      <c r="B112" s="2543"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v>
      </c>
      <c r="H112" s="2271" t="s">
        <v>2906</v>
      </c>
      <c r="I112" s="384" t="s">
        <v>2907</v>
      </c>
    </row>
    <row r="113" spans="1:9" s="23" customFormat="1" ht="25.5" x14ac:dyDescent="0.2">
      <c r="A113" s="2348"/>
      <c r="B113" s="2544"/>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266"/>
      <c r="I113" s="359"/>
    </row>
    <row r="114" spans="1:9" s="23" customFormat="1" ht="25.5" x14ac:dyDescent="0.2">
      <c r="A114" s="2348"/>
      <c r="B114" s="2544"/>
      <c r="C114" s="281" t="str">
        <f>F!C130</f>
        <v>Fines: includes silt, clay, silt, soils that make a ribbon longer than 2 cm when moistened, rolled, squeezed, and extended between thumb and forefinger.</v>
      </c>
      <c r="D114" s="558">
        <f>F!D130</f>
        <v>0</v>
      </c>
      <c r="E114" s="76">
        <v>1</v>
      </c>
      <c r="F114" s="93">
        <f>D114*E114</f>
        <v>0</v>
      </c>
      <c r="G114" s="261"/>
      <c r="H114" s="2266"/>
      <c r="I114" s="359"/>
    </row>
    <row r="115" spans="1:9" s="23" customFormat="1" x14ac:dyDescent="0.2">
      <c r="A115" s="2348"/>
      <c r="B115" s="2544"/>
      <c r="C115" s="281" t="str">
        <f>F!C131</f>
        <v>Deep Peat, to 40 cm (16 inch) depth or greater.</v>
      </c>
      <c r="D115" s="558">
        <f>F!D131</f>
        <v>0</v>
      </c>
      <c r="E115" s="76">
        <v>3</v>
      </c>
      <c r="F115" s="93">
        <f>D115*E115</f>
        <v>0</v>
      </c>
      <c r="G115" s="261"/>
      <c r="H115" s="2266"/>
      <c r="I115" s="359"/>
    </row>
    <row r="116" spans="1:9" s="23" customFormat="1" x14ac:dyDescent="0.2">
      <c r="A116" s="2348"/>
      <c r="B116" s="2544"/>
      <c r="C116" s="281" t="str">
        <f>F!C132</f>
        <v xml:space="preserve">Shallow Peat or organic &lt;40 cm deep. </v>
      </c>
      <c r="D116" s="558">
        <f>F!D132</f>
        <v>0</v>
      </c>
      <c r="E116" s="76">
        <v>4</v>
      </c>
      <c r="F116" s="93">
        <f>D116*E116</f>
        <v>0</v>
      </c>
      <c r="G116" s="261"/>
      <c r="H116" s="2266"/>
      <c r="I116" s="359"/>
    </row>
    <row r="117" spans="1:9" s="23" customFormat="1" ht="26.25" thickBot="1" x14ac:dyDescent="0.25">
      <c r="A117" s="2349"/>
      <c r="B117" s="2545"/>
      <c r="C117" s="249" t="str">
        <f>F!C133</f>
        <v>Coarse: includes sand, loamy sand, gravel, cobble, soils that do not make a ribbon when moistened, rolled, squeezed, and extended between thumb and forefinger.</v>
      </c>
      <c r="D117" s="794">
        <f>F!D133</f>
        <v>0</v>
      </c>
      <c r="E117" s="77">
        <v>0</v>
      </c>
      <c r="F117" s="97">
        <f>D117*E117</f>
        <v>0</v>
      </c>
      <c r="G117" s="262"/>
      <c r="H117" s="2267"/>
      <c r="I117" s="335"/>
    </row>
    <row r="118" spans="1:9" ht="26.25" thickBot="1" x14ac:dyDescent="0.25">
      <c r="A118" s="2361" t="str">
        <f>F!A149</f>
        <v>F24</v>
      </c>
      <c r="B118" s="2508"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v>
      </c>
      <c r="H118" s="2266" t="s">
        <v>2908</v>
      </c>
      <c r="I118" s="384" t="s">
        <v>2909</v>
      </c>
    </row>
    <row r="119" spans="1:9" ht="25.5" x14ac:dyDescent="0.2">
      <c r="A119" s="2361"/>
      <c r="B119" s="2506"/>
      <c r="C119" s="766" t="str">
        <f>F!C150</f>
        <v xml:space="preserve">&lt;1% . In other words, all or nearly all of the AA is covered by water permanently or at least seasonally.  </v>
      </c>
      <c r="D119" s="558">
        <f>F!D150</f>
        <v>0</v>
      </c>
      <c r="E119" s="93">
        <v>0</v>
      </c>
      <c r="F119" s="93">
        <f t="shared" ref="F119:F124" si="5">D119*E119</f>
        <v>0</v>
      </c>
      <c r="G119" s="261"/>
      <c r="H119" s="2266"/>
      <c r="I119" s="359"/>
    </row>
    <row r="120" spans="1:9" x14ac:dyDescent="0.2">
      <c r="A120" s="2361"/>
      <c r="B120" s="2506"/>
      <c r="C120" s="766" t="str">
        <f>F!C151</f>
        <v>1-25% of the AA,  or &lt;1% but &gt;0.01 ha never contains surface water.</v>
      </c>
      <c r="D120" s="558">
        <f>F!D151</f>
        <v>0</v>
      </c>
      <c r="E120" s="93">
        <v>1</v>
      </c>
      <c r="F120" s="93">
        <f t="shared" si="5"/>
        <v>0</v>
      </c>
      <c r="G120" s="261"/>
      <c r="H120" s="2266"/>
      <c r="I120" s="359"/>
    </row>
    <row r="121" spans="1:9" x14ac:dyDescent="0.2">
      <c r="A121" s="2361"/>
      <c r="B121" s="2506"/>
      <c r="C121" s="766" t="str">
        <f>F!C152</f>
        <v>25-50% of the AA never contains surface water.</v>
      </c>
      <c r="D121" s="558">
        <f>F!D152</f>
        <v>0</v>
      </c>
      <c r="E121" s="93">
        <v>2</v>
      </c>
      <c r="F121" s="93">
        <f t="shared" si="5"/>
        <v>0</v>
      </c>
      <c r="G121" s="261"/>
      <c r="H121" s="2266"/>
      <c r="I121" s="359"/>
    </row>
    <row r="122" spans="1:9" s="23" customFormat="1" x14ac:dyDescent="0.2">
      <c r="A122" s="2361"/>
      <c r="B122" s="2506"/>
      <c r="C122" s="766" t="str">
        <f>F!C153</f>
        <v>50-75% of the AA never contains surface water.</v>
      </c>
      <c r="D122" s="558">
        <f>F!D153</f>
        <v>0</v>
      </c>
      <c r="E122" s="93">
        <v>3</v>
      </c>
      <c r="F122" s="93">
        <f t="shared" si="5"/>
        <v>0</v>
      </c>
      <c r="G122" s="261"/>
      <c r="H122" s="2266"/>
      <c r="I122" s="359"/>
    </row>
    <row r="123" spans="1:9" s="23" customFormat="1" ht="25.5" x14ac:dyDescent="0.2">
      <c r="A123" s="2361"/>
      <c r="B123" s="250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266"/>
      <c r="I123" s="359"/>
    </row>
    <row r="124" spans="1:9" s="23" customFormat="1" ht="26.25" thickBot="1" x14ac:dyDescent="0.25">
      <c r="A124" s="2361"/>
      <c r="B124" s="2509"/>
      <c r="C124" s="1356" t="str">
        <f>F!C155</f>
        <v>&gt; 99%. AND during most years there is never more than 0.1 ha of ponded surface water within the AA. Enter "1" and SKIP to F43 (Channel Connection).</v>
      </c>
      <c r="D124" s="557">
        <f>F!D155</f>
        <v>0</v>
      </c>
      <c r="E124" s="95">
        <v>5</v>
      </c>
      <c r="F124" s="95">
        <f t="shared" si="5"/>
        <v>0</v>
      </c>
      <c r="G124" s="264"/>
      <c r="H124" s="2267"/>
      <c r="I124" s="335"/>
    </row>
    <row r="125" spans="1:9" s="23" customFormat="1" ht="26.25" thickBot="1" x14ac:dyDescent="0.25">
      <c r="A125" s="2347" t="str">
        <f>F!A175</f>
        <v>F29</v>
      </c>
      <c r="B125" s="2543"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v>
      </c>
      <c r="H125" s="2266" t="s">
        <v>2910</v>
      </c>
      <c r="I125" s="384" t="s">
        <v>2911</v>
      </c>
    </row>
    <row r="126" spans="1:9" s="23" customFormat="1" x14ac:dyDescent="0.2">
      <c r="A126" s="2348"/>
      <c r="B126" s="2544"/>
      <c r="C126" s="150" t="str">
        <f>F!C176</f>
        <v>&lt;10 cm deep (but &gt;0).</v>
      </c>
      <c r="D126" s="401">
        <f>F!D176</f>
        <v>0</v>
      </c>
      <c r="E126" s="26">
        <v>4</v>
      </c>
      <c r="F126" s="93">
        <f>D126*E126</f>
        <v>0</v>
      </c>
      <c r="G126" s="260"/>
      <c r="H126" s="2266"/>
      <c r="I126" s="359"/>
    </row>
    <row r="127" spans="1:9" s="23" customFormat="1" x14ac:dyDescent="0.2">
      <c r="A127" s="2348"/>
      <c r="B127" s="2544"/>
      <c r="C127" s="281" t="str">
        <f>F!C177</f>
        <v>10 - 50 cm deep.</v>
      </c>
      <c r="D127" s="558">
        <f>F!D177</f>
        <v>0</v>
      </c>
      <c r="E127" s="26">
        <v>3</v>
      </c>
      <c r="F127" s="93">
        <f>D127*E127</f>
        <v>0</v>
      </c>
      <c r="G127" s="261"/>
      <c r="H127" s="2266"/>
      <c r="I127" s="359"/>
    </row>
    <row r="128" spans="1:9" s="23" customFormat="1" x14ac:dyDescent="0.2">
      <c r="A128" s="2348"/>
      <c r="B128" s="2544"/>
      <c r="C128" s="281" t="str">
        <f>F!C178</f>
        <v>0.5 - 1 m deep.</v>
      </c>
      <c r="D128" s="558">
        <f>F!D178</f>
        <v>0</v>
      </c>
      <c r="E128" s="26">
        <v>2</v>
      </c>
      <c r="F128" s="93">
        <f>D128*E128</f>
        <v>0</v>
      </c>
      <c r="G128" s="261"/>
      <c r="H128" s="2266"/>
      <c r="I128" s="359"/>
    </row>
    <row r="129" spans="1:9" s="23" customFormat="1" x14ac:dyDescent="0.2">
      <c r="A129" s="2348"/>
      <c r="B129" s="2544"/>
      <c r="C129" s="281" t="str">
        <f>F!C179</f>
        <v>1 - 2 m deep.</v>
      </c>
      <c r="D129" s="558">
        <f>F!D179</f>
        <v>0</v>
      </c>
      <c r="E129" s="26">
        <v>1</v>
      </c>
      <c r="F129" s="93">
        <f>D129*E129</f>
        <v>0</v>
      </c>
      <c r="G129" s="261"/>
      <c r="H129" s="2266"/>
      <c r="I129" s="359"/>
    </row>
    <row r="130" spans="1:9" s="23" customFormat="1" ht="13.5" thickBot="1" x14ac:dyDescent="0.25">
      <c r="A130" s="2349"/>
      <c r="B130" s="2545"/>
      <c r="C130" s="249" t="str">
        <f>F!C180</f>
        <v>&gt;2 m deep. True for many fringe wetlands.</v>
      </c>
      <c r="D130" s="794">
        <f>F!D180</f>
        <v>0</v>
      </c>
      <c r="E130" s="67">
        <v>0</v>
      </c>
      <c r="F130" s="97">
        <f>D130*E130</f>
        <v>0</v>
      </c>
      <c r="G130" s="262"/>
      <c r="H130" s="2267"/>
      <c r="I130" s="335"/>
    </row>
    <row r="131" spans="1:9" s="23" customFormat="1" ht="26.25" thickBot="1" x14ac:dyDescent="0.25">
      <c r="A131" s="2773" t="str">
        <f>F!A187</f>
        <v>F31</v>
      </c>
      <c r="B131" s="2511"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v>
      </c>
      <c r="H131" s="2271" t="s">
        <v>2912</v>
      </c>
      <c r="I131" s="384" t="s">
        <v>2913</v>
      </c>
    </row>
    <row r="132" spans="1:9" s="23" customFormat="1" ht="25.5" x14ac:dyDescent="0.2">
      <c r="A132" s="2773"/>
      <c r="B132" s="2512"/>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66"/>
      <c r="I132" s="359"/>
    </row>
    <row r="133" spans="1:9" s="23" customFormat="1" x14ac:dyDescent="0.2">
      <c r="A133" s="2773"/>
      <c r="B133" s="2512"/>
      <c r="C133" s="150" t="str">
        <f>F!C189</f>
        <v>5-30% of the water.</v>
      </c>
      <c r="D133" s="401">
        <f>F!D189</f>
        <v>0</v>
      </c>
      <c r="E133" s="76">
        <v>2</v>
      </c>
      <c r="F133" s="93">
        <f>D133*E133</f>
        <v>0</v>
      </c>
      <c r="G133" s="261"/>
      <c r="H133" s="2266"/>
      <c r="I133" s="359"/>
    </row>
    <row r="134" spans="1:9" s="23" customFormat="1" x14ac:dyDescent="0.2">
      <c r="A134" s="2773"/>
      <c r="B134" s="2512"/>
      <c r="C134" s="150" t="str">
        <f>F!C190</f>
        <v>30-70% of the water.</v>
      </c>
      <c r="D134" s="401">
        <f>F!D190</f>
        <v>0</v>
      </c>
      <c r="E134" s="76">
        <v>3</v>
      </c>
      <c r="F134" s="93">
        <f>D134*E134</f>
        <v>0</v>
      </c>
      <c r="G134" s="261"/>
      <c r="H134" s="2266"/>
      <c r="I134" s="359"/>
    </row>
    <row r="135" spans="1:9" s="23" customFormat="1" x14ac:dyDescent="0.2">
      <c r="A135" s="2773"/>
      <c r="B135" s="2512"/>
      <c r="C135" s="150" t="str">
        <f>F!C191</f>
        <v>70-95% of the water.</v>
      </c>
      <c r="D135" s="401">
        <f>F!D191</f>
        <v>0</v>
      </c>
      <c r="E135" s="76">
        <v>4</v>
      </c>
      <c r="F135" s="93">
        <f>D135*E135</f>
        <v>0</v>
      </c>
      <c r="G135" s="261"/>
      <c r="H135" s="2266"/>
      <c r="I135" s="359"/>
    </row>
    <row r="136" spans="1:9" s="23" customFormat="1" ht="13.5" thickBot="1" x14ac:dyDescent="0.25">
      <c r="A136" s="2773"/>
      <c r="B136" s="2513"/>
      <c r="C136" s="2" t="str">
        <f>F!C192</f>
        <v>&gt;95% of the water. Includes but not limited to wetlands with no outlets (F42).</v>
      </c>
      <c r="D136" s="479">
        <f>F!D192</f>
        <v>0</v>
      </c>
      <c r="E136" s="79">
        <v>5</v>
      </c>
      <c r="F136" s="95">
        <f>D136*E136</f>
        <v>0</v>
      </c>
      <c r="G136" s="264"/>
      <c r="H136" s="2266"/>
      <c r="I136" s="335"/>
    </row>
    <row r="137" spans="1:9" s="23" customFormat="1" ht="26.25" thickBot="1" x14ac:dyDescent="0.25">
      <c r="A137" s="2347" t="str">
        <f>F!A202</f>
        <v>F34</v>
      </c>
      <c r="B137" s="2543"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v>
      </c>
      <c r="H137" s="2271" t="s">
        <v>2914</v>
      </c>
      <c r="I137" s="384" t="s">
        <v>2915</v>
      </c>
    </row>
    <row r="138" spans="1:9" s="23" customFormat="1" x14ac:dyDescent="0.2">
      <c r="A138" s="2348"/>
      <c r="B138" s="2544"/>
      <c r="C138" s="150" t="str">
        <f>F!C203</f>
        <v>&lt;1 m.</v>
      </c>
      <c r="D138" s="401">
        <f>F!D203</f>
        <v>0</v>
      </c>
      <c r="E138" s="26">
        <v>6</v>
      </c>
      <c r="F138" s="93">
        <f t="shared" ref="F138:F143" si="6">D138*E138</f>
        <v>0</v>
      </c>
      <c r="G138" s="260"/>
      <c r="H138" s="2266"/>
      <c r="I138" s="359"/>
    </row>
    <row r="139" spans="1:9" s="23" customFormat="1" x14ac:dyDescent="0.2">
      <c r="A139" s="2348"/>
      <c r="B139" s="2544"/>
      <c r="C139" s="281" t="str">
        <f>F!C204</f>
        <v>1 - 9 m.</v>
      </c>
      <c r="D139" s="558">
        <f>F!D204</f>
        <v>0</v>
      </c>
      <c r="E139" s="26">
        <v>4</v>
      </c>
      <c r="F139" s="93">
        <f t="shared" si="6"/>
        <v>0</v>
      </c>
      <c r="G139" s="261"/>
      <c r="H139" s="2266"/>
      <c r="I139" s="359"/>
    </row>
    <row r="140" spans="1:9" s="23" customFormat="1" x14ac:dyDescent="0.2">
      <c r="A140" s="2348"/>
      <c r="B140" s="2544"/>
      <c r="C140" s="281" t="str">
        <f>F!C205</f>
        <v>10 - 29 m.</v>
      </c>
      <c r="D140" s="558">
        <f>F!D205</f>
        <v>0</v>
      </c>
      <c r="E140" s="26">
        <v>3</v>
      </c>
      <c r="F140" s="93">
        <f t="shared" si="6"/>
        <v>0</v>
      </c>
      <c r="G140" s="261"/>
      <c r="H140" s="2266"/>
      <c r="I140" s="359"/>
    </row>
    <row r="141" spans="1:9" s="23" customFormat="1" x14ac:dyDescent="0.2">
      <c r="A141" s="2348"/>
      <c r="B141" s="2544"/>
      <c r="C141" s="281" t="str">
        <f>F!C206</f>
        <v>30 - 49 m.</v>
      </c>
      <c r="D141" s="558">
        <f>F!D206</f>
        <v>0</v>
      </c>
      <c r="E141" s="26">
        <v>2</v>
      </c>
      <c r="F141" s="93">
        <f t="shared" si="6"/>
        <v>0</v>
      </c>
      <c r="G141" s="261"/>
      <c r="H141" s="2266"/>
      <c r="I141" s="359"/>
    </row>
    <row r="142" spans="1:9" s="23" customFormat="1" x14ac:dyDescent="0.2">
      <c r="A142" s="2348"/>
      <c r="B142" s="2544"/>
      <c r="C142" s="281" t="str">
        <f>F!C207</f>
        <v>50 - 100 m.</v>
      </c>
      <c r="D142" s="558">
        <f>F!D207</f>
        <v>0</v>
      </c>
      <c r="E142" s="26">
        <v>1</v>
      </c>
      <c r="F142" s="93">
        <f t="shared" si="6"/>
        <v>0</v>
      </c>
      <c r="G142" s="261"/>
      <c r="H142" s="2266"/>
      <c r="I142" s="359"/>
    </row>
    <row r="143" spans="1:9" s="23" customFormat="1" ht="13.5" thickBot="1" x14ac:dyDescent="0.25">
      <c r="A143" s="2349"/>
      <c r="B143" s="2545"/>
      <c r="C143" s="249" t="str">
        <f>F!C208</f>
        <v>&gt; 100 m, or open water is absent at that time.</v>
      </c>
      <c r="D143" s="794">
        <f>F!D208</f>
        <v>0</v>
      </c>
      <c r="E143" s="67">
        <v>0</v>
      </c>
      <c r="F143" s="97">
        <f t="shared" si="6"/>
        <v>0</v>
      </c>
      <c r="G143" s="262"/>
      <c r="H143" s="2267"/>
      <c r="I143" s="335"/>
    </row>
    <row r="144" spans="1:9" s="23" customFormat="1" ht="64.5" thickBot="1" x14ac:dyDescent="0.25">
      <c r="A144" s="2774" t="str">
        <f>F!A232</f>
        <v>F43</v>
      </c>
      <c r="B144" s="2588"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266" t="s">
        <v>2916</v>
      </c>
      <c r="I144" s="384" t="s">
        <v>2917</v>
      </c>
    </row>
    <row r="145" spans="1:9" s="23" customFormat="1" x14ac:dyDescent="0.2">
      <c r="A145" s="2774"/>
      <c r="B145" s="2544"/>
      <c r="C145" s="150" t="str">
        <f>F!C233</f>
        <v>Persistent (surface water flows out for &gt;9 months/year).</v>
      </c>
      <c r="D145" s="401">
        <f>F!D233</f>
        <v>0</v>
      </c>
      <c r="E145" s="26">
        <v>0</v>
      </c>
      <c r="F145" s="93">
        <f>D145*E145</f>
        <v>0</v>
      </c>
      <c r="G145" s="260"/>
      <c r="H145" s="2266"/>
      <c r="I145" s="359"/>
    </row>
    <row r="146" spans="1:9" s="23" customFormat="1" x14ac:dyDescent="0.2">
      <c r="A146" s="2774"/>
      <c r="B146" s="2544"/>
      <c r="C146" s="281" t="str">
        <f>F!C234</f>
        <v>Seasonal (surface water flows out for 14 days to 9 months/year, not necessarily consecutive).</v>
      </c>
      <c r="D146" s="558">
        <f>F!D234</f>
        <v>0</v>
      </c>
      <c r="E146" s="26">
        <v>1</v>
      </c>
      <c r="F146" s="93">
        <f>D146*E146</f>
        <v>0</v>
      </c>
      <c r="G146" s="261"/>
      <c r="H146" s="2266"/>
      <c r="I146" s="359"/>
    </row>
    <row r="147" spans="1:9" s="23" customFormat="1" x14ac:dyDescent="0.2">
      <c r="A147" s="2774"/>
      <c r="B147" s="2544"/>
      <c r="C147" s="281" t="str">
        <f>F!C235</f>
        <v>Temporary (surface water flows out for &lt;14 days, not necessarily consecutive).</v>
      </c>
      <c r="D147" s="558">
        <f>F!D235</f>
        <v>0</v>
      </c>
      <c r="E147" s="26">
        <v>2</v>
      </c>
      <c r="F147" s="93">
        <f>D147*E147</f>
        <v>0</v>
      </c>
      <c r="G147" s="261"/>
      <c r="H147" s="2266"/>
      <c r="I147" s="359"/>
    </row>
    <row r="148" spans="1:9" s="23" customFormat="1" ht="51" x14ac:dyDescent="0.2">
      <c r="A148" s="2774"/>
      <c r="B148" s="2544"/>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266"/>
      <c r="I148" s="359"/>
    </row>
    <row r="149" spans="1:9" s="23" customFormat="1" ht="39" thickBot="1" x14ac:dyDescent="0.25">
      <c r="A149" s="2774"/>
      <c r="B149" s="2589"/>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266"/>
      <c r="I149" s="335"/>
    </row>
    <row r="150" spans="1:9" s="23" customFormat="1" ht="26.25" thickBot="1" x14ac:dyDescent="0.25">
      <c r="A150" s="2360" t="str">
        <f>F!A239</f>
        <v>F44</v>
      </c>
      <c r="B150" s="250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271" t="s">
        <v>2918</v>
      </c>
      <c r="I150" s="384" t="s">
        <v>2919</v>
      </c>
    </row>
    <row r="151" spans="1:9" s="23" customFormat="1" ht="38.25" x14ac:dyDescent="0.2">
      <c r="A151" s="2361"/>
      <c r="B151" s="250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66"/>
      <c r="I151" s="359"/>
    </row>
    <row r="152" spans="1:9" s="23" customFormat="1" ht="25.5" x14ac:dyDescent="0.2">
      <c r="A152" s="2361"/>
      <c r="B152" s="2506"/>
      <c r="C152" s="281" t="str">
        <f>F!C241</f>
        <v>Leaves through natural exits (channels or diffuse outflow), not mainly through artificial or temporary features.</v>
      </c>
      <c r="D152" s="558">
        <f>F!D241</f>
        <v>0</v>
      </c>
      <c r="E152" s="26">
        <v>0</v>
      </c>
      <c r="F152" s="195">
        <f>D152*E152</f>
        <v>0</v>
      </c>
      <c r="G152" s="261"/>
      <c r="H152" s="2266"/>
      <c r="I152" s="359"/>
    </row>
    <row r="153" spans="1:9" s="23" customFormat="1" ht="39" thickBot="1" x14ac:dyDescent="0.25">
      <c r="A153" s="2362"/>
      <c r="B153" s="250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267"/>
      <c r="I153" s="335"/>
    </row>
    <row r="154" spans="1:9" s="23" customFormat="1" ht="13.5" thickBot="1" x14ac:dyDescent="0.25">
      <c r="A154" s="2361" t="str">
        <f>F!A251</f>
        <v>F47</v>
      </c>
      <c r="B154" s="2508" t="str">
        <f>F!B251</f>
        <v>Beaver Probability [SFTS, CC, APP, FA, FR, AM, WBF, WBN, RSB, KMH, PH, Sens]</v>
      </c>
      <c r="C154" s="253" t="str">
        <f>F!C251</f>
        <v>Use of the AA by beaver during the past 5 years is (select most applicable ONE):</v>
      </c>
      <c r="D154" s="802"/>
      <c r="E154" s="75"/>
      <c r="F154" s="90"/>
      <c r="G154" s="554">
        <f>MAX(F155:F157)/MAX(E155:E157)</f>
        <v>0</v>
      </c>
      <c r="H154" s="2266" t="s">
        <v>2920</v>
      </c>
      <c r="I154" s="384" t="s">
        <v>2921</v>
      </c>
    </row>
    <row r="155" spans="1:9" s="23" customFormat="1" ht="25.5" x14ac:dyDescent="0.2">
      <c r="A155" s="2361"/>
      <c r="B155" s="2506"/>
      <c r="C155" s="150" t="str">
        <f>F!C252</f>
        <v>Evident from direct observation or presence of gnawed limbs, dams, tracks, dens, lodges, or extensive stands of water-killed trees (snags).</v>
      </c>
      <c r="D155" s="401">
        <f>F!D252</f>
        <v>0</v>
      </c>
      <c r="E155" s="76">
        <v>3</v>
      </c>
      <c r="F155" s="95">
        <f>D155*E155</f>
        <v>0</v>
      </c>
      <c r="G155" s="260"/>
      <c r="H155" s="2266"/>
      <c r="I155" s="359"/>
    </row>
    <row r="156" spans="1:9" s="23" customFormat="1" ht="51" x14ac:dyDescent="0.2">
      <c r="A156" s="2361"/>
      <c r="B156" s="250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266"/>
      <c r="I156" s="359"/>
    </row>
    <row r="157" spans="1:9" s="23" customFormat="1" ht="26.25" thickBot="1" x14ac:dyDescent="0.25">
      <c r="A157" s="2361"/>
      <c r="B157" s="2509"/>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267"/>
      <c r="I157" s="335"/>
    </row>
    <row r="158" spans="1:9" s="23" customFormat="1" ht="39" thickBot="1" x14ac:dyDescent="0.25">
      <c r="A158" s="2347" t="str">
        <f>F!A266</f>
        <v>F50</v>
      </c>
      <c r="B158" s="2543"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v>
      </c>
      <c r="H158" s="2271" t="s">
        <v>2922</v>
      </c>
      <c r="I158" s="384" t="s">
        <v>2923</v>
      </c>
    </row>
    <row r="159" spans="1:9" s="23" customFormat="1" x14ac:dyDescent="0.2">
      <c r="A159" s="2348"/>
      <c r="B159" s="2544"/>
      <c r="C159" s="150" t="str">
        <f>F!C267</f>
        <v>&lt;5%.</v>
      </c>
      <c r="D159" s="401">
        <f>F!D267</f>
        <v>0</v>
      </c>
      <c r="E159" s="26">
        <v>0</v>
      </c>
      <c r="F159" s="93">
        <f>D159*E159</f>
        <v>0</v>
      </c>
      <c r="G159" s="260"/>
      <c r="H159" s="2266"/>
      <c r="I159" s="359"/>
    </row>
    <row r="160" spans="1:9" s="23" customFormat="1" x14ac:dyDescent="0.2">
      <c r="A160" s="2348"/>
      <c r="B160" s="2544"/>
      <c r="C160" s="281" t="str">
        <f>F!C268</f>
        <v>5 to &lt;30%.</v>
      </c>
      <c r="D160" s="558">
        <f>F!D268</f>
        <v>0</v>
      </c>
      <c r="E160" s="26">
        <v>2</v>
      </c>
      <c r="F160" s="93">
        <f>D160*E160</f>
        <v>0</v>
      </c>
      <c r="G160" s="261"/>
      <c r="H160" s="2266"/>
      <c r="I160" s="359"/>
    </row>
    <row r="161" spans="1:9" s="23" customFormat="1" x14ac:dyDescent="0.2">
      <c r="A161" s="2348"/>
      <c r="B161" s="2544"/>
      <c r="C161" s="281" t="str">
        <f>F!C269</f>
        <v>30 to &lt;60%.</v>
      </c>
      <c r="D161" s="558">
        <f>F!D269</f>
        <v>0</v>
      </c>
      <c r="E161" s="26">
        <v>3</v>
      </c>
      <c r="F161" s="93">
        <f>D161*E161</f>
        <v>0</v>
      </c>
      <c r="G161" s="261"/>
      <c r="H161" s="2266"/>
      <c r="I161" s="359"/>
    </row>
    <row r="162" spans="1:9" s="23" customFormat="1" x14ac:dyDescent="0.2">
      <c r="A162" s="2348"/>
      <c r="B162" s="2544"/>
      <c r="C162" s="281" t="str">
        <f>F!C270</f>
        <v>60 to 90%.</v>
      </c>
      <c r="D162" s="558">
        <f>F!D270</f>
        <v>0</v>
      </c>
      <c r="E162" s="26">
        <v>4</v>
      </c>
      <c r="F162" s="93">
        <f>D162*E162</f>
        <v>0</v>
      </c>
      <c r="G162" s="261"/>
      <c r="H162" s="2266"/>
      <c r="I162" s="359"/>
    </row>
    <row r="163" spans="1:9" s="23" customFormat="1" ht="13.5" thickBot="1" x14ac:dyDescent="0.25">
      <c r="A163" s="2349"/>
      <c r="B163" s="2545"/>
      <c r="C163" s="253" t="str">
        <f>F!C271</f>
        <v>&gt;90%, or all the area within 30 m of the AA edge is other wetlands. SKIP to F53.</v>
      </c>
      <c r="D163" s="480">
        <f>F!D271</f>
        <v>0</v>
      </c>
      <c r="E163" s="67">
        <v>6</v>
      </c>
      <c r="F163" s="97">
        <f>D163*E163</f>
        <v>0</v>
      </c>
      <c r="G163" s="262"/>
      <c r="H163" s="2267"/>
      <c r="I163" s="335"/>
    </row>
    <row r="164" spans="1:9" s="23" customFormat="1" ht="26.25" thickBot="1" x14ac:dyDescent="0.25">
      <c r="A164" s="2347" t="str">
        <f>F!A275</f>
        <v>F52</v>
      </c>
      <c r="B164" s="2543"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v>
      </c>
      <c r="H164" s="2271" t="s">
        <v>2924</v>
      </c>
      <c r="I164" s="384" t="s">
        <v>2925</v>
      </c>
    </row>
    <row r="165" spans="1:9" s="23" customFormat="1" ht="25.5" x14ac:dyDescent="0.2">
      <c r="A165" s="2348"/>
      <c r="B165" s="2544"/>
      <c r="C165" s="150" t="str">
        <f>F!C276</f>
        <v>&lt;1% (flat -- almost no noticeable slope) or all the area within 30 m of the AA edge is other wetlands.</v>
      </c>
      <c r="D165" s="401">
        <f>F!D276</f>
        <v>0</v>
      </c>
      <c r="E165" s="26">
        <v>0</v>
      </c>
      <c r="F165" s="93">
        <f>D165*E165</f>
        <v>0</v>
      </c>
      <c r="G165" s="260"/>
      <c r="H165" s="2266"/>
      <c r="I165" s="359"/>
    </row>
    <row r="166" spans="1:9" s="23" customFormat="1" x14ac:dyDescent="0.2">
      <c r="A166" s="2348"/>
      <c r="B166" s="2544"/>
      <c r="C166" s="281" t="str">
        <f>F!C277</f>
        <v>2-5%.</v>
      </c>
      <c r="D166" s="558">
        <f>F!D277</f>
        <v>0</v>
      </c>
      <c r="E166" s="26">
        <v>1</v>
      </c>
      <c r="F166" s="93">
        <f>D166*E166</f>
        <v>0</v>
      </c>
      <c r="G166" s="261"/>
      <c r="H166" s="2266"/>
      <c r="I166" s="359"/>
    </row>
    <row r="167" spans="1:9" s="23" customFormat="1" x14ac:dyDescent="0.2">
      <c r="A167" s="2348"/>
      <c r="B167" s="2544"/>
      <c r="C167" s="281" t="str">
        <f>F!C278</f>
        <v>5-30%.</v>
      </c>
      <c r="D167" s="558">
        <f>F!D278</f>
        <v>0</v>
      </c>
      <c r="E167" s="26">
        <v>2</v>
      </c>
      <c r="F167" s="93">
        <f>D167*E167</f>
        <v>0</v>
      </c>
      <c r="G167" s="261"/>
      <c r="H167" s="2266"/>
      <c r="I167" s="359"/>
    </row>
    <row r="168" spans="1:9" s="23" customFormat="1" ht="13.5" thickBot="1" x14ac:dyDescent="0.25">
      <c r="A168" s="2349"/>
      <c r="B168" s="2545"/>
      <c r="C168" s="253" t="str">
        <f>F!C279</f>
        <v>&gt;30%.</v>
      </c>
      <c r="D168" s="480">
        <f>F!D279</f>
        <v>0</v>
      </c>
      <c r="E168" s="67">
        <v>5</v>
      </c>
      <c r="F168" s="97">
        <f>D168*E168</f>
        <v>0</v>
      </c>
      <c r="G168" s="262"/>
      <c r="H168" s="2267"/>
      <c r="I168" s="335"/>
    </row>
    <row r="169" spans="1:9" s="23" customFormat="1" ht="39" customHeight="1" thickBot="1" x14ac:dyDescent="0.25">
      <c r="A169" s="2360" t="str">
        <f>F!A286</f>
        <v>F54</v>
      </c>
      <c r="B169" s="250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271" t="s">
        <v>2926</v>
      </c>
      <c r="I169" s="384" t="s">
        <v>2927</v>
      </c>
    </row>
    <row r="170" spans="1:9" s="23" customFormat="1" ht="25.5" x14ac:dyDescent="0.2">
      <c r="A170" s="2361"/>
      <c r="B170" s="2506"/>
      <c r="C170" s="281" t="str">
        <f>F!C287</f>
        <v>No. Also mark this if site was once tidal but within the past decade was converted to non-tidal by dyking.</v>
      </c>
      <c r="D170" s="558">
        <f>F!D287</f>
        <v>0</v>
      </c>
      <c r="E170" s="76">
        <v>0</v>
      </c>
      <c r="F170" s="93">
        <f>D170*E170</f>
        <v>0</v>
      </c>
      <c r="G170" s="260"/>
      <c r="H170" s="2266"/>
      <c r="I170" s="359"/>
    </row>
    <row r="171" spans="1:9" s="23" customFormat="1" x14ac:dyDescent="0.2">
      <c r="A171" s="2361"/>
      <c r="B171" s="2506"/>
      <c r="C171" s="281" t="str">
        <f>F!C288</f>
        <v xml:space="preserve">Yes, and created or expanded 20 - 100 years ago. </v>
      </c>
      <c r="D171" s="558">
        <f>F!D288</f>
        <v>0</v>
      </c>
      <c r="E171" s="76">
        <v>1</v>
      </c>
      <c r="F171" s="93">
        <f>D171*E171</f>
        <v>0</v>
      </c>
      <c r="G171" s="261"/>
      <c r="H171" s="2266"/>
      <c r="I171" s="359"/>
    </row>
    <row r="172" spans="1:9" s="23" customFormat="1" x14ac:dyDescent="0.2">
      <c r="A172" s="2361"/>
      <c r="B172" s="2506"/>
      <c r="C172" s="281" t="str">
        <f>F!C289</f>
        <v>Yes, and created or expanded 3-20 years ago.</v>
      </c>
      <c r="D172" s="558">
        <f>F!D289</f>
        <v>0</v>
      </c>
      <c r="E172" s="76">
        <v>2</v>
      </c>
      <c r="F172" s="93">
        <f>D172*E172</f>
        <v>0</v>
      </c>
      <c r="G172" s="261"/>
      <c r="H172" s="2266"/>
      <c r="I172" s="359"/>
    </row>
    <row r="173" spans="1:9" s="24" customFormat="1" x14ac:dyDescent="0.2">
      <c r="A173" s="2361"/>
      <c r="B173" s="2506"/>
      <c r="C173" s="281" t="str">
        <f>F!C290</f>
        <v>Yes, and created or expanded within last 3 years.</v>
      </c>
      <c r="D173" s="558">
        <f>F!D290</f>
        <v>0</v>
      </c>
      <c r="E173" s="76">
        <v>3</v>
      </c>
      <c r="F173" s="93">
        <f>D173*E173</f>
        <v>0</v>
      </c>
      <c r="G173" s="261"/>
      <c r="H173" s="2266"/>
      <c r="I173" s="359"/>
    </row>
    <row r="174" spans="1:9" s="24" customFormat="1" x14ac:dyDescent="0.2">
      <c r="A174" s="2361"/>
      <c r="B174" s="2506"/>
      <c r="C174" s="281" t="str">
        <f>F!C291</f>
        <v>Yes, but time of origin or expansion unknown.</v>
      </c>
      <c r="D174" s="558">
        <f>F!D291</f>
        <v>0</v>
      </c>
      <c r="E174" s="76">
        <v>1</v>
      </c>
      <c r="F174" s="93">
        <f>D174*E174</f>
        <v>0</v>
      </c>
      <c r="G174" s="261"/>
      <c r="H174" s="2266"/>
      <c r="I174" s="359"/>
    </row>
    <row r="175" spans="1:9" s="24" customFormat="1" ht="13.5" thickBot="1" x14ac:dyDescent="0.25">
      <c r="A175" s="2362"/>
      <c r="B175" s="2507"/>
      <c r="C175" s="249" t="str">
        <f>F!C292</f>
        <v>Unknown if new or expanded within 20 years or not.</v>
      </c>
      <c r="D175" s="794">
        <f>F!D292</f>
        <v>0</v>
      </c>
      <c r="E175" s="77"/>
      <c r="F175" s="97"/>
      <c r="G175" s="262"/>
      <c r="H175" s="2267"/>
      <c r="I175" s="335"/>
    </row>
    <row r="176" spans="1:9" s="23" customFormat="1" ht="26.25" customHeight="1" thickBot="1" x14ac:dyDescent="0.25">
      <c r="A176" s="2361" t="str">
        <f>F!A337</f>
        <v>F65</v>
      </c>
      <c r="B176" s="2508" t="str">
        <f>F!B337</f>
        <v>pH Measurement [PR, NR, CSP, APP, FA, FR, AM, WBN, Sens]</v>
      </c>
      <c r="C176" s="711" t="str">
        <f>F!C337</f>
        <v>The pH in most of the AA's surface water:</v>
      </c>
      <c r="D176" s="802"/>
      <c r="E176" s="28"/>
      <c r="F176" s="90"/>
      <c r="G176" s="554">
        <f>IF((D179=1),"",IF((D178=1),0.8,IF((D177=""),"",IF((D177&lt;=4.5),1,IF((AND(D177&gt;4.5,D177&lt;7.5)),0.5,0)))))</f>
        <v>0.8</v>
      </c>
      <c r="H176" s="2783" t="s">
        <v>8684</v>
      </c>
      <c r="I176" s="384" t="s">
        <v>2928</v>
      </c>
    </row>
    <row r="177" spans="1:10" s="23" customFormat="1" x14ac:dyDescent="0.2">
      <c r="A177" s="2361"/>
      <c r="B177" s="2506"/>
      <c r="C177" s="727" t="str">
        <f>F!C338</f>
        <v>Was measured, and is:  [enter the reading in the column to the right.]</v>
      </c>
      <c r="D177" s="1521" t="str">
        <f>IF((F!D338=""),"",F!D338)</f>
        <v/>
      </c>
      <c r="E177" s="26"/>
      <c r="F177" s="93"/>
      <c r="G177" s="243"/>
      <c r="H177" s="2784"/>
      <c r="I177" s="359"/>
    </row>
    <row r="178" spans="1:10" s="23" customFormat="1" ht="38.25" x14ac:dyDescent="0.2">
      <c r="A178" s="2361"/>
      <c r="B178" s="2506"/>
      <c r="C178" s="880" t="str">
        <f>F!C339</f>
        <v xml:space="preserve">Was not measured but surface water is present and is darkly tea-coloured.  Or if no surface water, then mosses and plants that indicate peatland (e.g., Labrador tea) are prevalent. Enter "1". </v>
      </c>
      <c r="D178" s="798">
        <f>F!D339</f>
        <v>1</v>
      </c>
      <c r="E178" s="26"/>
      <c r="F178" s="93"/>
      <c r="G178" s="181"/>
      <c r="H178" s="2784"/>
      <c r="I178" s="359"/>
    </row>
    <row r="179" spans="1:10" s="23" customFormat="1" ht="13.5" thickBot="1" x14ac:dyDescent="0.25">
      <c r="A179" s="2361"/>
      <c r="B179" s="2509"/>
      <c r="C179" s="1356" t="str">
        <f>F!C340</f>
        <v>Neither of above. Enter "1".</v>
      </c>
      <c r="D179" s="794">
        <f>F!D340</f>
        <v>0</v>
      </c>
      <c r="E179" s="67"/>
      <c r="F179" s="97"/>
      <c r="G179" s="242"/>
      <c r="H179" s="2785"/>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83"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785"/>
      <c r="I181" s="335" t="s">
        <v>2930</v>
      </c>
      <c r="J181" s="3"/>
    </row>
    <row r="182" spans="1:10" s="24" customFormat="1" ht="13.5" thickBot="1" x14ac:dyDescent="0.25">
      <c r="A182" s="2315"/>
      <c r="B182" s="2315"/>
      <c r="C182" s="285"/>
      <c r="D182" s="285"/>
      <c r="E182" s="285"/>
      <c r="F182" s="285"/>
      <c r="G182" s="285"/>
      <c r="H182" s="285"/>
      <c r="I182" s="3"/>
      <c r="J182" s="3"/>
    </row>
    <row r="183" spans="1:10" s="222" customFormat="1" ht="61.5" customHeight="1" x14ac:dyDescent="0.2">
      <c r="A183" s="2315"/>
      <c r="B183" s="2315"/>
      <c r="C183" s="2335" t="s">
        <v>2839</v>
      </c>
      <c r="D183" s="2775" t="s">
        <v>2931</v>
      </c>
      <c r="E183" s="2776"/>
      <c r="F183" s="2776"/>
      <c r="G183" s="883">
        <f>AVERAGE((OutDura_S * AVERAGE(SatPct_S, CUratio_S, IsoDry_S, Depth_S, Constric_S)),AVERAGE(BuffSlope_S,SoilTex_S,Beaver_S))</f>
        <v>0</v>
      </c>
      <c r="H183" s="699" t="s">
        <v>2932</v>
      </c>
      <c r="I183" s="771" t="s">
        <v>2933</v>
      </c>
      <c r="J183" s="297" t="s">
        <v>2934</v>
      </c>
    </row>
    <row r="184" spans="1:10" s="24" customFormat="1" ht="51" x14ac:dyDescent="0.2">
      <c r="A184" s="2315"/>
      <c r="B184" s="2315"/>
      <c r="C184" s="2336"/>
      <c r="D184" s="2777" t="s">
        <v>2935</v>
      </c>
      <c r="E184" s="2778"/>
      <c r="F184" s="2779"/>
      <c r="G184" s="884">
        <f>AVERAGE(VwidthAbs_S, WetSize_S, (AVERAGE(EmSens1_S, ShrubPattS, WoodySens2_S, Gcover_S, UpEdge_S)), RareSpp_S)</f>
        <v>0</v>
      </c>
      <c r="H184" s="695" t="s">
        <v>8683</v>
      </c>
      <c r="I184" s="772" t="s">
        <v>2936</v>
      </c>
      <c r="J184" s="295" t="s">
        <v>2937</v>
      </c>
    </row>
    <row r="185" spans="1:10" s="24" customFormat="1" ht="27" customHeight="1" x14ac:dyDescent="0.2">
      <c r="A185" s="2315"/>
      <c r="B185" s="2315"/>
      <c r="C185" s="2336"/>
      <c r="D185" s="2777" t="s">
        <v>2938</v>
      </c>
      <c r="E185" s="2778"/>
      <c r="F185" s="2779"/>
      <c r="G185" s="884">
        <f>AVERAGE(GDD_S,AVERAGE(WettypeS,NfixS,NewWet_S,AcidicS,TDS_18,Conduc18))</f>
        <v>0.2</v>
      </c>
      <c r="H185" s="695" t="s">
        <v>9154</v>
      </c>
      <c r="I185" s="772" t="s">
        <v>2939</v>
      </c>
      <c r="J185" s="295" t="s">
        <v>2940</v>
      </c>
    </row>
    <row r="186" spans="1:10" ht="40.5" customHeight="1" x14ac:dyDescent="0.2">
      <c r="A186" s="2315"/>
      <c r="B186" s="2315"/>
      <c r="C186" s="2336"/>
      <c r="D186" s="2777" t="s">
        <v>2941</v>
      </c>
      <c r="E186" s="2778"/>
      <c r="F186" s="2779"/>
      <c r="G186" s="884">
        <f>AVERAGE(Elev_S,HerbDom2, NatVegProx_S,NatVegSize_S,NatVegCUpct_S, VegPctScape_S,PondProx_S,LakeProx_S)</f>
        <v>0</v>
      </c>
      <c r="H186" s="695" t="s">
        <v>2942</v>
      </c>
      <c r="I186" s="885" t="s">
        <v>2943</v>
      </c>
      <c r="J186" s="295" t="s">
        <v>2944</v>
      </c>
    </row>
    <row r="187" spans="1:10" ht="29.25" customHeight="1" thickBot="1" x14ac:dyDescent="0.25">
      <c r="A187" s="2315"/>
      <c r="B187" s="2315"/>
      <c r="C187" s="2337"/>
      <c r="D187" s="2780" t="s">
        <v>2945</v>
      </c>
      <c r="E187" s="2781"/>
      <c r="F187" s="2782"/>
      <c r="G187" s="886" t="str">
        <f>IF((SUM(F!D20:D23)=0),"",AVERAGE(TreeCovS,TreeDBHs))</f>
        <v/>
      </c>
      <c r="H187" s="697" t="s">
        <v>2946</v>
      </c>
      <c r="I187" s="887" t="s">
        <v>2947</v>
      </c>
      <c r="J187" s="295" t="s">
        <v>2948</v>
      </c>
    </row>
    <row r="188" spans="1:10" ht="21" thickBot="1" x14ac:dyDescent="0.25">
      <c r="A188" s="2315"/>
      <c r="B188" s="2315"/>
      <c r="C188" s="392" t="s">
        <v>2949</v>
      </c>
      <c r="D188" s="450"/>
      <c r="E188" s="393"/>
      <c r="F188" s="351"/>
      <c r="G188" s="2058">
        <f>10*AVERAGE(AbioSens,BioSens,Fertility,Colonizer,GrowthRate)</f>
        <v>0.5</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H131:H136"/>
    <mergeCell ref="H137:H143"/>
    <mergeCell ref="H144:H149"/>
    <mergeCell ref="C183:C187"/>
    <mergeCell ref="D183:F183"/>
    <mergeCell ref="D184:F184"/>
    <mergeCell ref="D185:F185"/>
    <mergeCell ref="D186:F186"/>
    <mergeCell ref="D187:F187"/>
    <mergeCell ref="H176:H179"/>
    <mergeCell ref="H180:H181"/>
    <mergeCell ref="H38:H44"/>
    <mergeCell ref="H45:H50"/>
    <mergeCell ref="H52:H56"/>
    <mergeCell ref="H58:H62"/>
    <mergeCell ref="H63:H69"/>
    <mergeCell ref="H3:H9"/>
    <mergeCell ref="H10:H15"/>
    <mergeCell ref="H16:H23"/>
    <mergeCell ref="H24:H29"/>
    <mergeCell ref="H30:H37"/>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25:A130"/>
    <mergeCell ref="B125:B130"/>
    <mergeCell ref="A131:A136"/>
    <mergeCell ref="B131:B136"/>
    <mergeCell ref="A137:A143"/>
    <mergeCell ref="B137:B143"/>
    <mergeCell ref="A94:A99"/>
    <mergeCell ref="B94:B99"/>
    <mergeCell ref="A118:A124"/>
    <mergeCell ref="B118:B124"/>
    <mergeCell ref="A106:A111"/>
    <mergeCell ref="B106:B111"/>
    <mergeCell ref="A112:A117"/>
    <mergeCell ref="B112:B117"/>
    <mergeCell ref="A100:A105"/>
    <mergeCell ref="B100:B105"/>
    <mergeCell ref="A91:A93"/>
    <mergeCell ref="B91:B93"/>
    <mergeCell ref="B84:B90"/>
    <mergeCell ref="A58:A62"/>
    <mergeCell ref="B58:B62"/>
    <mergeCell ref="A63:A69"/>
    <mergeCell ref="B63:B69"/>
    <mergeCell ref="A75:A83"/>
    <mergeCell ref="B75:B83"/>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52:A56"/>
    <mergeCell ref="B52:B56"/>
    <mergeCell ref="A71:A74"/>
    <mergeCell ref="B71:B74"/>
    <mergeCell ref="A84:A90"/>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87" t="s">
        <v>2971</v>
      </c>
      <c r="B1" s="238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0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v>
      </c>
      <c r="H3" s="283" t="s">
        <v>2975</v>
      </c>
    </row>
    <row r="4" spans="1:8" x14ac:dyDescent="0.2">
      <c r="A4" s="1199"/>
      <c r="B4" s="2506"/>
      <c r="C4" s="150" t="str">
        <f>OF!C54</f>
        <v>&lt;100 m.</v>
      </c>
      <c r="D4" s="398">
        <f>OF!D54</f>
        <v>0</v>
      </c>
      <c r="E4" s="76">
        <v>5</v>
      </c>
      <c r="F4" s="76">
        <f>D4*E4</f>
        <v>0</v>
      </c>
      <c r="G4" s="191"/>
      <c r="H4" s="64"/>
    </row>
    <row r="5" spans="1:8" x14ac:dyDescent="0.2">
      <c r="A5" s="1199"/>
      <c r="B5" s="2506"/>
      <c r="C5" s="281" t="str">
        <f>OF!C55</f>
        <v>100 - 500 m.</v>
      </c>
      <c r="D5" s="399">
        <f>OF!D55</f>
        <v>0</v>
      </c>
      <c r="E5" s="76">
        <v>3</v>
      </c>
      <c r="F5" s="76">
        <f>D5*E5</f>
        <v>0</v>
      </c>
      <c r="G5" s="192"/>
      <c r="H5" s="64"/>
    </row>
    <row r="6" spans="1:8" x14ac:dyDescent="0.2">
      <c r="A6" s="1199"/>
      <c r="B6" s="2506"/>
      <c r="C6" s="281" t="str">
        <f>OF!C56</f>
        <v>0.5- 1 km.</v>
      </c>
      <c r="D6" s="399">
        <f>OF!D56</f>
        <v>0</v>
      </c>
      <c r="E6" s="76">
        <v>2</v>
      </c>
      <c r="F6" s="76">
        <f>D6*E6</f>
        <v>0</v>
      </c>
      <c r="G6" s="192"/>
      <c r="H6" s="64"/>
    </row>
    <row r="7" spans="1:8" x14ac:dyDescent="0.2">
      <c r="A7" s="1199"/>
      <c r="B7" s="2506"/>
      <c r="C7" s="281" t="str">
        <f>OF!C57</f>
        <v>1 - 5 km.</v>
      </c>
      <c r="D7" s="399">
        <f>OF!D57</f>
        <v>0</v>
      </c>
      <c r="E7" s="76">
        <v>1</v>
      </c>
      <c r="F7" s="76">
        <f>D7*E7</f>
        <v>0</v>
      </c>
      <c r="G7" s="192"/>
      <c r="H7" s="64"/>
    </row>
    <row r="8" spans="1:8" ht="13.5" thickBot="1" x14ac:dyDescent="0.25">
      <c r="A8" s="1199"/>
      <c r="B8" s="2509"/>
      <c r="C8" s="151" t="str">
        <f>OF!C58</f>
        <v>&gt;5 km.</v>
      </c>
      <c r="D8" s="411">
        <f>OF!D58</f>
        <v>0</v>
      </c>
      <c r="E8" s="79">
        <v>0</v>
      </c>
      <c r="F8" s="79">
        <f>D8*E8</f>
        <v>0</v>
      </c>
      <c r="G8" s="211"/>
      <c r="H8" s="64"/>
    </row>
    <row r="9" spans="1:8" ht="13.5" thickBot="1" x14ac:dyDescent="0.25">
      <c r="A9" s="1539" t="str">
        <f>OF!A65</f>
        <v>OF11</v>
      </c>
      <c r="B9" s="2505" t="str">
        <f>OF!B65</f>
        <v>Distance to Nearest Maintained Road [NRb, FAb, FRb, AM, WBN, RSB, PH, CRI, STR]</v>
      </c>
      <c r="C9" s="63" t="str">
        <f>OF!C65</f>
        <v>From the center of the AA, the distance to the nearest maintained public road (dirt or paved) is:</v>
      </c>
      <c r="D9" s="574"/>
      <c r="E9" s="80"/>
      <c r="F9" s="81"/>
      <c r="G9" s="208">
        <f>MAX(F10:F15)/MAX(E10:E15)</f>
        <v>0</v>
      </c>
      <c r="H9" s="283" t="s">
        <v>2976</v>
      </c>
    </row>
    <row r="10" spans="1:8" x14ac:dyDescent="0.2">
      <c r="A10" s="1537"/>
      <c r="B10" s="2506"/>
      <c r="C10" s="150" t="str">
        <f>OF!C66</f>
        <v>&lt;10 m.</v>
      </c>
      <c r="D10" s="398">
        <f>OF!D66</f>
        <v>0</v>
      </c>
      <c r="E10" s="76">
        <v>5</v>
      </c>
      <c r="F10" s="76">
        <f t="shared" ref="F10:F15" si="0">D10*E10</f>
        <v>0</v>
      </c>
      <c r="G10" s="191"/>
      <c r="H10" s="64"/>
    </row>
    <row r="11" spans="1:8" x14ac:dyDescent="0.2">
      <c r="A11" s="1537"/>
      <c r="B11" s="2506"/>
      <c r="C11" s="281" t="str">
        <f>OF!C67</f>
        <v>10 - 25 m.</v>
      </c>
      <c r="D11" s="399">
        <f>OF!D67</f>
        <v>0</v>
      </c>
      <c r="E11" s="76">
        <v>4</v>
      </c>
      <c r="F11" s="76">
        <f t="shared" si="0"/>
        <v>0</v>
      </c>
      <c r="G11" s="192"/>
      <c r="H11" s="64"/>
    </row>
    <row r="12" spans="1:8" x14ac:dyDescent="0.2">
      <c r="A12" s="1537"/>
      <c r="B12" s="2506"/>
      <c r="C12" s="281" t="str">
        <f>OF!C68</f>
        <v>25 - 50 m.</v>
      </c>
      <c r="D12" s="399">
        <f>OF!D68</f>
        <v>0</v>
      </c>
      <c r="E12" s="76">
        <v>2</v>
      </c>
      <c r="F12" s="76">
        <f t="shared" si="0"/>
        <v>0</v>
      </c>
      <c r="G12" s="192"/>
      <c r="H12" s="64"/>
    </row>
    <row r="13" spans="1:8" x14ac:dyDescent="0.2">
      <c r="A13" s="1537"/>
      <c r="B13" s="2506"/>
      <c r="C13" s="281" t="str">
        <f>OF!C69</f>
        <v>50 - 100 m.</v>
      </c>
      <c r="D13" s="399">
        <f>OF!D69</f>
        <v>0</v>
      </c>
      <c r="E13" s="76">
        <v>1</v>
      </c>
      <c r="F13" s="76">
        <f t="shared" si="0"/>
        <v>0</v>
      </c>
      <c r="G13" s="192"/>
      <c r="H13" s="64"/>
    </row>
    <row r="14" spans="1:8" x14ac:dyDescent="0.2">
      <c r="A14" s="1537"/>
      <c r="B14" s="2506"/>
      <c r="C14" s="281" t="str">
        <f>OF!C70</f>
        <v>100 - 500 m.</v>
      </c>
      <c r="D14" s="399">
        <f>OF!D70</f>
        <v>0</v>
      </c>
      <c r="E14" s="76">
        <v>1</v>
      </c>
      <c r="F14" s="76">
        <f t="shared" si="0"/>
        <v>0</v>
      </c>
      <c r="G14" s="192"/>
      <c r="H14" s="64"/>
    </row>
    <row r="15" spans="1:8" ht="13.5" thickBot="1" x14ac:dyDescent="0.25">
      <c r="A15" s="1538"/>
      <c r="B15" s="250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2977</v>
      </c>
    </row>
    <row r="17" spans="1:8" ht="26.25" thickBot="1" x14ac:dyDescent="0.25">
      <c r="A17" s="1193" t="str">
        <f>OF!A111</f>
        <v>OF20</v>
      </c>
      <c r="B17" s="250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v>
      </c>
      <c r="H17" s="283" t="s">
        <v>2978</v>
      </c>
    </row>
    <row r="18" spans="1:8" x14ac:dyDescent="0.2">
      <c r="A18" s="1199"/>
      <c r="B18" s="2506"/>
      <c r="C18" s="150" t="str">
        <f>OF!C112</f>
        <v>The condition is present within the AA.</v>
      </c>
      <c r="D18" s="401">
        <f>OF!D112</f>
        <v>0</v>
      </c>
      <c r="E18" s="76"/>
      <c r="F18" s="94"/>
      <c r="G18" s="191"/>
      <c r="H18" s="64"/>
    </row>
    <row r="19" spans="1:8" x14ac:dyDescent="0.2">
      <c r="A19" s="1199"/>
      <c r="B19" s="2506"/>
      <c r="C19" s="150" t="str">
        <f>OF!C113</f>
        <v>The condition is present in waters within 1 km that flow into the AA, but has not been documented in the AA itself.</v>
      </c>
      <c r="D19" s="398">
        <f>OF!D113</f>
        <v>0</v>
      </c>
      <c r="E19" s="76"/>
      <c r="F19" s="94"/>
      <c r="G19" s="192"/>
      <c r="H19" s="64"/>
    </row>
    <row r="20" spans="1:8" ht="25.5" x14ac:dyDescent="0.2">
      <c r="A20" s="1199"/>
      <c r="B20" s="250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0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08"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2979</v>
      </c>
    </row>
    <row r="23" spans="1:8" x14ac:dyDescent="0.2">
      <c r="A23" s="1199"/>
      <c r="B23" s="2506"/>
      <c r="C23" s="150" t="str">
        <f>OF!C128</f>
        <v>&lt;10%.</v>
      </c>
      <c r="D23" s="398">
        <f>OF!D128</f>
        <v>0</v>
      </c>
      <c r="E23" s="76">
        <v>0</v>
      </c>
      <c r="F23" s="94">
        <f>D23*E23</f>
        <v>0</v>
      </c>
      <c r="G23" s="191"/>
      <c r="H23" s="64"/>
    </row>
    <row r="24" spans="1:8" x14ac:dyDescent="0.2">
      <c r="A24" s="1199"/>
      <c r="B24" s="2506"/>
      <c r="C24" s="150" t="str">
        <f>OF!C129</f>
        <v>10 to 25%.</v>
      </c>
      <c r="D24" s="398">
        <f>OF!D129</f>
        <v>0</v>
      </c>
      <c r="E24" s="76">
        <v>2</v>
      </c>
      <c r="F24" s="94">
        <f>D24*E24</f>
        <v>0</v>
      </c>
      <c r="G24" s="192"/>
      <c r="H24" s="64"/>
    </row>
    <row r="25" spans="1:8" ht="13.5" thickBot="1" x14ac:dyDescent="0.25">
      <c r="A25" s="1199"/>
      <c r="B25" s="2509"/>
      <c r="C25" s="2" t="str">
        <f>OF!C130</f>
        <v>&gt;25%.</v>
      </c>
      <c r="D25" s="402">
        <f>OF!D130</f>
        <v>0</v>
      </c>
      <c r="E25" s="79">
        <v>3</v>
      </c>
      <c r="F25" s="96">
        <f>D25*E25</f>
        <v>0</v>
      </c>
      <c r="G25" s="211"/>
      <c r="H25" s="64"/>
    </row>
    <row r="26" spans="1:8" ht="26.25" thickBot="1" x14ac:dyDescent="0.25">
      <c r="A26" s="1193" t="str">
        <f>OF!A170</f>
        <v>OF38</v>
      </c>
      <c r="B26" s="250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0.5</v>
      </c>
      <c r="H26" s="283" t="s">
        <v>2980</v>
      </c>
    </row>
    <row r="27" spans="1:8" ht="38.25" x14ac:dyDescent="0.2">
      <c r="A27" s="1199"/>
      <c r="B27" s="250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x14ac:dyDescent="0.2">
      <c r="A28" s="1199"/>
      <c r="B28" s="250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506"/>
      <c r="C29" s="281" t="str">
        <f>OF!C173</f>
        <v>Ownership is private but public access is allowed, and/or a shorter-term conservation easement (whether renewable or not) is in place.</v>
      </c>
      <c r="D29" s="399">
        <f>OF!D173</f>
        <v>1</v>
      </c>
      <c r="E29" s="86">
        <v>1</v>
      </c>
      <c r="F29" s="76">
        <f>D29*E29</f>
        <v>1</v>
      </c>
      <c r="G29" s="191"/>
      <c r="H29" s="64"/>
    </row>
    <row r="30" spans="1:8" ht="26.25" thickBot="1" x14ac:dyDescent="0.25">
      <c r="A30" s="1200"/>
      <c r="B30" s="250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0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2981</v>
      </c>
    </row>
    <row r="32" spans="1:8" x14ac:dyDescent="0.2">
      <c r="A32" s="1173"/>
      <c r="B32" s="2506"/>
      <c r="C32" s="150" t="str">
        <f>F!C80</f>
        <v>none of the upland edge (invasives apparently absent), or AA has no upland edge.</v>
      </c>
      <c r="D32" s="398">
        <f>F!D81</f>
        <v>0</v>
      </c>
      <c r="E32" s="76">
        <v>0</v>
      </c>
      <c r="F32" s="76">
        <f>D32*E32</f>
        <v>0</v>
      </c>
      <c r="G32" s="212"/>
      <c r="H32" s="64"/>
    </row>
    <row r="33" spans="1:8" x14ac:dyDescent="0.2">
      <c r="A33" s="1173"/>
      <c r="B33" s="2506"/>
      <c r="C33" s="281" t="str">
        <f>F!C81</f>
        <v>some (but &lt;5%) of the upland edge.</v>
      </c>
      <c r="D33" s="399">
        <f>F!D82</f>
        <v>0</v>
      </c>
      <c r="E33" s="76">
        <v>1</v>
      </c>
      <c r="F33" s="76">
        <f>D33*E33</f>
        <v>0</v>
      </c>
      <c r="G33" s="213"/>
      <c r="H33" s="64"/>
    </row>
    <row r="34" spans="1:8" x14ac:dyDescent="0.2">
      <c r="A34" s="1173"/>
      <c r="B34" s="2506"/>
      <c r="C34" s="281" t="str">
        <f>F!C82</f>
        <v>5-50% of the upland edge.</v>
      </c>
      <c r="D34" s="399">
        <f>F!D83</f>
        <v>0</v>
      </c>
      <c r="E34" s="76">
        <v>2</v>
      </c>
      <c r="F34" s="76">
        <f>D34*E34</f>
        <v>0</v>
      </c>
      <c r="G34" s="213"/>
      <c r="H34" s="64"/>
    </row>
    <row r="35" spans="1:8" ht="13.5" thickBot="1" x14ac:dyDescent="0.25">
      <c r="A35" s="1174"/>
      <c r="B35" s="2507"/>
      <c r="C35" s="249" t="str">
        <f>F!C83</f>
        <v>most (&gt;50%) of the upland edge.</v>
      </c>
      <c r="D35" s="400">
        <f>F!D165</f>
        <v>0</v>
      </c>
      <c r="E35" s="77">
        <v>3</v>
      </c>
      <c r="F35" s="77">
        <f>D35*E35</f>
        <v>0</v>
      </c>
      <c r="G35" s="214"/>
      <c r="H35" s="282"/>
    </row>
    <row r="36" spans="1:8" ht="13.5" thickBot="1" x14ac:dyDescent="0.25">
      <c r="A36" s="1177" t="str">
        <f>F!A239</f>
        <v>F44</v>
      </c>
      <c r="B36" s="2511"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0</v>
      </c>
      <c r="H36" s="64" t="s">
        <v>2982</v>
      </c>
    </row>
    <row r="37" spans="1:8" ht="25.5" x14ac:dyDescent="0.2">
      <c r="A37" s="1177"/>
      <c r="B37" s="2512"/>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12"/>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13"/>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thickBot="1" x14ac:dyDescent="0.25">
      <c r="A40" s="1150" t="str">
        <f>F!A266</f>
        <v>F50</v>
      </c>
      <c r="B40" s="250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v>
      </c>
      <c r="H40" s="283" t="s">
        <v>2983</v>
      </c>
    </row>
    <row r="41" spans="1:8" x14ac:dyDescent="0.2">
      <c r="A41" s="1151"/>
      <c r="B41" s="2506"/>
      <c r="C41" s="252" t="str">
        <f>F!C267</f>
        <v>&lt;5%.</v>
      </c>
      <c r="D41" s="402">
        <f>F!D268</f>
        <v>0</v>
      </c>
      <c r="E41" s="86">
        <v>4</v>
      </c>
      <c r="F41" s="76">
        <f>D41*E41</f>
        <v>0</v>
      </c>
      <c r="G41" s="212"/>
      <c r="H41" s="64"/>
    </row>
    <row r="42" spans="1:8" x14ac:dyDescent="0.2">
      <c r="A42" s="1151"/>
      <c r="B42" s="2506"/>
      <c r="C42" s="151" t="str">
        <f>F!C268</f>
        <v>5 to &lt;30%.</v>
      </c>
      <c r="D42" s="411">
        <f>F!D269</f>
        <v>0</v>
      </c>
      <c r="E42" s="86">
        <v>3</v>
      </c>
      <c r="F42" s="76">
        <f>D42*E42</f>
        <v>0</v>
      </c>
      <c r="G42" s="213"/>
      <c r="H42" s="64"/>
    </row>
    <row r="43" spans="1:8" x14ac:dyDescent="0.2">
      <c r="A43" s="1151"/>
      <c r="B43" s="2506"/>
      <c r="C43" s="151" t="str">
        <f>F!C269</f>
        <v>30 to &lt;60%.</v>
      </c>
      <c r="D43" s="411">
        <f>F!D270</f>
        <v>0</v>
      </c>
      <c r="E43" s="86">
        <v>2</v>
      </c>
      <c r="F43" s="76">
        <f>D43*E43</f>
        <v>0</v>
      </c>
      <c r="G43" s="213"/>
      <c r="H43" s="64"/>
    </row>
    <row r="44" spans="1:8" x14ac:dyDescent="0.2">
      <c r="A44" s="1151"/>
      <c r="B44" s="2506"/>
      <c r="C44" s="151" t="str">
        <f>F!C270</f>
        <v>60 to 90%.</v>
      </c>
      <c r="D44" s="411">
        <f>F!D271</f>
        <v>0</v>
      </c>
      <c r="E44" s="86">
        <v>1</v>
      </c>
      <c r="F44" s="76">
        <f>D44*E44</f>
        <v>0</v>
      </c>
      <c r="G44" s="213"/>
      <c r="H44" s="64"/>
    </row>
    <row r="45" spans="1:8" ht="13.5" thickBot="1" x14ac:dyDescent="0.25">
      <c r="A45" s="1152"/>
      <c r="B45" s="250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08"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06"/>
      <c r="C47" s="252" t="str">
        <f>F!C273</f>
        <v>Impervious surface, e.g., paved road, parking lot, building, exposed rock.</v>
      </c>
      <c r="D47" s="402">
        <f>F!D274</f>
        <v>0</v>
      </c>
      <c r="E47" s="86">
        <v>2</v>
      </c>
      <c r="F47" s="76">
        <f>D47*E47</f>
        <v>0</v>
      </c>
      <c r="G47" s="191"/>
      <c r="H47" s="64"/>
    </row>
    <row r="48" spans="1:8" ht="26.25" thickBot="1" x14ac:dyDescent="0.25">
      <c r="A48" s="1151"/>
      <c r="B48" s="2509"/>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65" t="str">
        <f>F!A294</f>
        <v>F55</v>
      </c>
      <c r="B49" s="2505" t="str">
        <f>F!B294</f>
        <v>Fire History [WFR, CSP, PH, STR]</v>
      </c>
      <c r="C49" s="863" t="str">
        <f>F!C294</f>
        <v>More than 1% of the AA's previously vegetated area:</v>
      </c>
      <c r="D49" s="574"/>
      <c r="E49" s="80"/>
      <c r="F49" s="80"/>
      <c r="G49" s="208">
        <f>MAX(F50:F53)/MAX(E50:E53)</f>
        <v>0</v>
      </c>
      <c r="H49" s="283" t="s">
        <v>2985</v>
      </c>
    </row>
    <row r="50" spans="1:8" x14ac:dyDescent="0.2">
      <c r="A50" s="2262"/>
      <c r="B50" s="2506"/>
      <c r="C50" s="766" t="str">
        <f>F!C295</f>
        <v>Burned within past 5 years.</v>
      </c>
      <c r="D50" s="399">
        <f>F!D295</f>
        <v>0</v>
      </c>
      <c r="E50" s="76">
        <v>4</v>
      </c>
      <c r="F50" s="76">
        <f>D50*E50</f>
        <v>0</v>
      </c>
      <c r="G50" s="192"/>
      <c r="H50" s="64"/>
    </row>
    <row r="51" spans="1:8" x14ac:dyDescent="0.2">
      <c r="A51" s="2262"/>
      <c r="B51" s="2506"/>
      <c r="C51" s="766" t="str">
        <f>F!C296</f>
        <v>Burned 6-10 years ago.</v>
      </c>
      <c r="D51" s="399">
        <f>F!D296</f>
        <v>0</v>
      </c>
      <c r="E51" s="76">
        <v>3</v>
      </c>
      <c r="F51" s="76">
        <f>D51*E51</f>
        <v>0</v>
      </c>
      <c r="G51" s="192"/>
      <c r="H51" s="64"/>
    </row>
    <row r="52" spans="1:8" x14ac:dyDescent="0.2">
      <c r="A52" s="2262"/>
      <c r="B52" s="2506"/>
      <c r="C52" s="766" t="str">
        <f>F!C297</f>
        <v>Burned 11-30 years ago.</v>
      </c>
      <c r="D52" s="399">
        <f>F!D297</f>
        <v>0</v>
      </c>
      <c r="E52" s="76">
        <v>2</v>
      </c>
      <c r="F52" s="76">
        <f>D52*E52</f>
        <v>0</v>
      </c>
      <c r="G52" s="192"/>
      <c r="H52" s="64"/>
    </row>
    <row r="53" spans="1:8" ht="13.5" thickBot="1" x14ac:dyDescent="0.25">
      <c r="A53" s="2263"/>
      <c r="B53" s="250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508"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06"/>
      <c r="C55" s="853" t="str">
        <f>F!C301</f>
        <v>&lt;25%.</v>
      </c>
      <c r="D55" s="398">
        <f>F!D302</f>
        <v>0</v>
      </c>
      <c r="E55" s="86">
        <v>0</v>
      </c>
      <c r="F55" s="76">
        <f>D55*E55</f>
        <v>0</v>
      </c>
      <c r="G55" s="191"/>
      <c r="H55" s="64"/>
    </row>
    <row r="56" spans="1:8" x14ac:dyDescent="0.2">
      <c r="A56" s="1151"/>
      <c r="B56" s="2506"/>
      <c r="C56" s="281" t="str">
        <f>F!C302</f>
        <v>25-50%.</v>
      </c>
      <c r="D56" s="399">
        <f>F!D303</f>
        <v>0</v>
      </c>
      <c r="E56" s="86">
        <v>1</v>
      </c>
      <c r="F56" s="76">
        <f>D56*E56</f>
        <v>0</v>
      </c>
      <c r="G56" s="211"/>
      <c r="H56" s="64"/>
    </row>
    <row r="57" spans="1:8" ht="13.5" thickBot="1" x14ac:dyDescent="0.25">
      <c r="A57" s="1151"/>
      <c r="B57" s="2509"/>
      <c r="C57" s="151" t="str">
        <f>F!C303</f>
        <v>&gt;50%.</v>
      </c>
      <c r="D57" s="411">
        <f>F!D304</f>
        <v>0</v>
      </c>
      <c r="E57" s="137">
        <v>2</v>
      </c>
      <c r="F57" s="96">
        <f>D57*E57</f>
        <v>0</v>
      </c>
      <c r="G57" s="211"/>
      <c r="H57" s="64"/>
    </row>
    <row r="58" spans="1:8" ht="13.5" thickBot="1" x14ac:dyDescent="0.25">
      <c r="A58" s="1150" t="str">
        <f>F!A304</f>
        <v>F57</v>
      </c>
      <c r="B58" s="2505" t="str">
        <f>F!B304</f>
        <v>Non-consumptive Uses - Actual or Potential [WBFb, CRI, STR]</v>
      </c>
      <c r="C58" s="63" t="str">
        <f>F!C304</f>
        <v>Assuming access permission was granted, select ALL statements that are true of the AA as it currently exists:</v>
      </c>
      <c r="D58" s="574"/>
      <c r="E58" s="80"/>
      <c r="F58" s="81"/>
      <c r="G58" s="208">
        <f>SUM(F59:F61)/3</f>
        <v>0</v>
      </c>
      <c r="H58" s="283" t="s">
        <v>2987</v>
      </c>
    </row>
    <row r="59" spans="1:8" ht="25.5" x14ac:dyDescent="0.2">
      <c r="A59" s="1151"/>
      <c r="B59" s="2506"/>
      <c r="C59" s="853"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x14ac:dyDescent="0.2">
      <c r="A60" s="1151"/>
      <c r="B60" s="250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0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0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v>
      </c>
      <c r="H62" s="283" t="s">
        <v>2988</v>
      </c>
    </row>
    <row r="63" spans="1:8" x14ac:dyDescent="0.2">
      <c r="A63" s="1151"/>
      <c r="B63" s="2506"/>
      <c r="C63" s="252" t="str">
        <f>F!C309</f>
        <v>&lt;5% and no inhabited building is within 100 m of the AA.</v>
      </c>
      <c r="D63" s="402">
        <f>F!D309</f>
        <v>0</v>
      </c>
      <c r="E63" s="86">
        <v>5</v>
      </c>
      <c r="F63" s="76">
        <f t="shared" ref="F63:F68" si="1">D63*E63</f>
        <v>0</v>
      </c>
      <c r="G63" s="212"/>
      <c r="H63" s="64"/>
    </row>
    <row r="64" spans="1:8" x14ac:dyDescent="0.2">
      <c r="A64" s="1151"/>
      <c r="B64" s="2506"/>
      <c r="C64" s="151" t="str">
        <f>F!C310</f>
        <v>&lt;5% and inhabited building is within 100 m of the AA.</v>
      </c>
      <c r="D64" s="411">
        <f>F!D310</f>
        <v>0</v>
      </c>
      <c r="E64" s="86">
        <v>5</v>
      </c>
      <c r="F64" s="76">
        <f t="shared" si="1"/>
        <v>0</v>
      </c>
      <c r="G64" s="213"/>
      <c r="H64" s="64"/>
    </row>
    <row r="65" spans="1:8" x14ac:dyDescent="0.2">
      <c r="A65" s="1151"/>
      <c r="B65" s="2506"/>
      <c r="C65" s="151" t="str">
        <f>F!C311</f>
        <v>5-50% and no inhabited building is within 100 m of the AA.</v>
      </c>
      <c r="D65" s="411">
        <f>F!D311</f>
        <v>0</v>
      </c>
      <c r="E65" s="86">
        <v>3</v>
      </c>
      <c r="F65" s="76">
        <f t="shared" si="1"/>
        <v>0</v>
      </c>
      <c r="G65" s="213"/>
      <c r="H65" s="64"/>
    </row>
    <row r="66" spans="1:8" x14ac:dyDescent="0.2">
      <c r="A66" s="1151"/>
      <c r="B66" s="2506"/>
      <c r="C66" s="281" t="str">
        <f>F!C312</f>
        <v>5-50% and inhabited building is within 100 m of the AA.</v>
      </c>
      <c r="D66" s="399">
        <f>F!D312</f>
        <v>0</v>
      </c>
      <c r="E66" s="86">
        <v>2</v>
      </c>
      <c r="F66" s="76">
        <f t="shared" si="1"/>
        <v>0</v>
      </c>
      <c r="G66" s="213"/>
      <c r="H66" s="64"/>
    </row>
    <row r="67" spans="1:8" x14ac:dyDescent="0.2">
      <c r="A67" s="1151"/>
      <c r="B67" s="2506"/>
      <c r="C67" s="2" t="str">
        <f>F!C313</f>
        <v>50-95%, with or without inhabited building nearby.</v>
      </c>
      <c r="D67" s="402">
        <f>F!D313</f>
        <v>0</v>
      </c>
      <c r="E67" s="86">
        <v>1</v>
      </c>
      <c r="F67" s="76">
        <f t="shared" si="1"/>
        <v>0</v>
      </c>
      <c r="G67" s="213"/>
      <c r="H67" s="64"/>
    </row>
    <row r="68" spans="1:8" ht="13.5" thickBot="1" x14ac:dyDescent="0.25">
      <c r="A68" s="1152"/>
      <c r="B68" s="250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08"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2989</v>
      </c>
    </row>
    <row r="70" spans="1:8" x14ac:dyDescent="0.2">
      <c r="A70" s="1151"/>
      <c r="B70" s="2506"/>
      <c r="C70" s="252" t="str">
        <f>F!C317</f>
        <v>&lt;5%. If F58 was answered "&gt;95%" (mostly never visited), SKIP to F62 (Consumptive Uses).</v>
      </c>
      <c r="D70" s="402">
        <f>F!D317</f>
        <v>0</v>
      </c>
      <c r="E70" s="86">
        <v>0</v>
      </c>
      <c r="F70" s="76">
        <f>D70*E70</f>
        <v>0</v>
      </c>
      <c r="G70" s="212"/>
      <c r="H70" s="64"/>
    </row>
    <row r="71" spans="1:8" x14ac:dyDescent="0.2">
      <c r="A71" s="1151"/>
      <c r="B71" s="2506"/>
      <c r="C71" s="151" t="str">
        <f>F!C318</f>
        <v>5-50%.</v>
      </c>
      <c r="D71" s="411">
        <f>F!D318</f>
        <v>0</v>
      </c>
      <c r="E71" s="86">
        <v>1</v>
      </c>
      <c r="F71" s="76">
        <f>D71*E71</f>
        <v>0</v>
      </c>
      <c r="G71" s="213"/>
      <c r="H71" s="64"/>
    </row>
    <row r="72" spans="1:8" x14ac:dyDescent="0.2">
      <c r="A72" s="1151"/>
      <c r="B72" s="2506"/>
      <c r="C72" s="151" t="str">
        <f>F!C319</f>
        <v>50-95%.</v>
      </c>
      <c r="D72" s="411">
        <f>F!D319</f>
        <v>0</v>
      </c>
      <c r="E72" s="86">
        <v>3</v>
      </c>
      <c r="F72" s="76">
        <f>D72*E72</f>
        <v>0</v>
      </c>
      <c r="G72" s="213"/>
      <c r="H72" s="64"/>
    </row>
    <row r="73" spans="1:8" ht="13.5" thickBot="1" x14ac:dyDescent="0.25">
      <c r="A73" s="1151"/>
      <c r="B73" s="2509"/>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0.16666666666666666</v>
      </c>
      <c r="E74" s="92"/>
      <c r="F74" s="82"/>
      <c r="G74" s="208">
        <f>D74</f>
        <v>0.16666666666666666</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98" t="s">
        <v>2839</v>
      </c>
      <c r="D81" s="2786" t="s">
        <v>2995</v>
      </c>
      <c r="E81" s="2787"/>
      <c r="F81" s="2788"/>
      <c r="G81" s="655">
        <f>AVERAGE(AltTiming,Constricted)</f>
        <v>8.3333333333333329E-2</v>
      </c>
      <c r="H81" s="889" t="s">
        <v>2996</v>
      </c>
      <c r="I81" s="297" t="s">
        <v>2997</v>
      </c>
    </row>
    <row r="82" spans="1:9" ht="41.25" customHeight="1" x14ac:dyDescent="0.2">
      <c r="A82" s="285"/>
      <c r="C82" s="2399"/>
      <c r="D82" s="2789" t="s">
        <v>2998</v>
      </c>
      <c r="E82" s="2790"/>
      <c r="F82" s="2791"/>
      <c r="G82" s="657">
        <f>AVERAGE(Toxic, ToxicData, Enrich, SedLoad,SoilDisturb,CAimperv,BuffDisturbTyp)</f>
        <v>0</v>
      </c>
      <c r="H82" s="890" t="s">
        <v>2999</v>
      </c>
      <c r="I82" s="295" t="s">
        <v>3000</v>
      </c>
    </row>
    <row r="83" spans="1:9" ht="30" customHeight="1" x14ac:dyDescent="0.2">
      <c r="A83" s="285"/>
      <c r="C83" s="2399"/>
      <c r="D83" s="2789" t="s">
        <v>3001</v>
      </c>
      <c r="E83" s="2790"/>
      <c r="F83" s="2791"/>
      <c r="G83" s="657">
        <f>AVERAGE(NatVegCA,WeedSource,RdBox)</f>
        <v>0.33333333333333331</v>
      </c>
      <c r="H83" s="890" t="s">
        <v>3002</v>
      </c>
      <c r="I83" s="295" t="s">
        <v>3003</v>
      </c>
    </row>
    <row r="84" spans="1:9" ht="39" thickBot="1" x14ac:dyDescent="0.25">
      <c r="A84" s="285"/>
      <c r="C84" s="2400"/>
      <c r="D84" s="2792" t="s">
        <v>3004</v>
      </c>
      <c r="E84" s="2793"/>
      <c r="F84" s="2794"/>
      <c r="G84" s="659">
        <f>AVERAGE(WLdisturb,RecUse, Core1,Core2,DistRd, VisibWet, PopCtrDist, OwnerSS,BurnHist, WLdisturb)</f>
        <v>0.05</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2.25</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A49:A53"/>
    <mergeCell ref="D81:F81"/>
    <mergeCell ref="D82:F82"/>
    <mergeCell ref="D83:F83"/>
    <mergeCell ref="D84:F84"/>
    <mergeCell ref="C81:C84"/>
    <mergeCell ref="B54:B57"/>
    <mergeCell ref="A1:B1"/>
    <mergeCell ref="B3:B8"/>
    <mergeCell ref="B9:B15"/>
    <mergeCell ref="B17:B21"/>
    <mergeCell ref="B22:B25"/>
    <mergeCell ref="B26:B30"/>
    <mergeCell ref="B58:B61"/>
    <mergeCell ref="B62:B68"/>
    <mergeCell ref="B69:B73"/>
    <mergeCell ref="B31:B35"/>
    <mergeCell ref="B36:B39"/>
    <mergeCell ref="B40:B45"/>
    <mergeCell ref="B46:B48"/>
    <mergeCell ref="B49:B53"/>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95" t="s">
        <v>3010</v>
      </c>
      <c r="B1" s="2796"/>
      <c r="C1" s="2796"/>
      <c r="D1" s="2796"/>
      <c r="E1" s="2796"/>
      <c r="F1" s="2796"/>
      <c r="G1" s="2796"/>
      <c r="H1" s="279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98" t="s">
        <v>3361</v>
      </c>
      <c r="B1" s="2799"/>
      <c r="C1" s="2799"/>
      <c r="D1" s="2799"/>
      <c r="E1" s="2799"/>
      <c r="F1" s="2799"/>
      <c r="G1" s="2799"/>
      <c r="H1" s="2799"/>
      <c r="I1" s="280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01" t="s">
        <v>6513</v>
      </c>
      <c r="B1" s="2802"/>
      <c r="C1" s="2802"/>
      <c r="D1" s="2802"/>
      <c r="E1" s="2802"/>
      <c r="F1" s="280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03" t="s">
        <v>6729</v>
      </c>
      <c r="B1" s="2804"/>
      <c r="C1" s="280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06" t="s">
        <v>6965</v>
      </c>
      <c r="K1" s="2806"/>
      <c r="L1" s="2806"/>
      <c r="M1" s="2806"/>
      <c r="N1" s="2806"/>
      <c r="O1" s="2806"/>
      <c r="P1" s="280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customXml/itemProps2.xml><?xml version="1.0" encoding="utf-8"?>
<ds:datastoreItem xmlns:ds="http://schemas.openxmlformats.org/officeDocument/2006/customXml" ds:itemID="{22361024-1852-466C-8823-70F9568719D8}">
  <ds:schemaRefs>
    <ds:schemaRef ds:uri="http://schemas.microsoft.com/sharepoint/v3/contenttype/forms"/>
  </ds:schemaRefs>
</ds:datastoreItem>
</file>

<file path=customXml/itemProps3.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2024-09-24T20:42:44Z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2024-09-24T20:42:44Z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39906b8d-5e33-49c8-bc87-2e4c7c74416e</vt:lpwstr>
  </property>
  <property fmtid="{D5CDD505-2E9C-101B-9397-08002B2CF9AE}" pid="10" name="MSIP_Label_d0689301-32b1-463b-ba86-10202492460a_ContentBits">
    <vt:lpwstr>0</vt:lpwstr>
  </property>
</Properties>
</file>